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acobt\Documents\TY 2024\Valuation\Models\Inventory\"/>
    </mc:Choice>
  </mc:AlternateContent>
  <xr:revisionPtr revIDLastSave="0" documentId="13_ncr:1_{2540F656-2F05-4781-BE2E-98C5DAB06887}" xr6:coauthVersionLast="47" xr6:coauthVersionMax="47" xr10:uidLastSave="{00000000-0000-0000-0000-000000000000}"/>
  <bookViews>
    <workbookView xWindow="-29190" yWindow="5220" windowWidth="28800" windowHeight="15345" xr2:uid="{CB685E0B-785F-4BF0-ABE1-5AF7BB32C8C5}"/>
  </bookViews>
  <sheets>
    <sheet name="Granger Sales" sheetId="1" r:id="rId1"/>
    <sheet name="Lookups" sheetId="2" r:id="rId2"/>
    <sheet name="Pivot Tables" sheetId="3" r:id="rId3"/>
    <sheet name="Inventory" sheetId="4" r:id="rId4"/>
  </sheet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79" i="1" l="1"/>
  <c r="CC71" i="1" l="1"/>
  <c r="CC70" i="1"/>
  <c r="CC69" i="1"/>
  <c r="L615" i="4" l="1"/>
  <c r="R615" i="4"/>
  <c r="L616" i="4"/>
  <c r="R616" i="4"/>
  <c r="L617" i="4"/>
  <c r="R617" i="4"/>
  <c r="L618" i="4"/>
  <c r="R618" i="4"/>
  <c r="L619" i="4"/>
  <c r="R619" i="4"/>
  <c r="L620" i="4"/>
  <c r="R620" i="4"/>
  <c r="L621" i="4"/>
  <c r="R621" i="4"/>
  <c r="L622" i="4"/>
  <c r="R622" i="4"/>
  <c r="L623" i="4"/>
  <c r="R623" i="4"/>
  <c r="L624" i="4"/>
  <c r="R624" i="4"/>
  <c r="L625" i="4"/>
  <c r="R625" i="4"/>
  <c r="L626" i="4"/>
  <c r="R626" i="4"/>
  <c r="L627" i="4"/>
  <c r="R627" i="4"/>
  <c r="L628" i="4"/>
  <c r="R628" i="4"/>
  <c r="L629" i="4"/>
  <c r="R629" i="4"/>
  <c r="L630" i="4"/>
  <c r="R630" i="4"/>
  <c r="L631" i="4"/>
  <c r="R631" i="4"/>
  <c r="L632" i="4"/>
  <c r="R632" i="4"/>
  <c r="L633" i="4"/>
  <c r="R633" i="4"/>
  <c r="L634" i="4"/>
  <c r="R634" i="4"/>
  <c r="L635" i="4"/>
  <c r="R635" i="4"/>
  <c r="L636" i="4"/>
  <c r="R636" i="4"/>
  <c r="L637" i="4"/>
  <c r="R637" i="4"/>
  <c r="L638" i="4"/>
  <c r="R638" i="4"/>
  <c r="L639" i="4"/>
  <c r="R639" i="4"/>
  <c r="L640" i="4"/>
  <c r="R640" i="4"/>
  <c r="L641" i="4"/>
  <c r="R641" i="4"/>
  <c r="L642" i="4"/>
  <c r="R642" i="4"/>
  <c r="L643" i="4"/>
  <c r="R643" i="4"/>
  <c r="L644" i="4"/>
  <c r="R644" i="4"/>
  <c r="L645" i="4"/>
  <c r="R645" i="4"/>
  <c r="L646" i="4"/>
  <c r="R646" i="4"/>
  <c r="L647" i="4"/>
  <c r="R647" i="4"/>
  <c r="L648" i="4"/>
  <c r="R648" i="4"/>
  <c r="L649" i="4"/>
  <c r="R649" i="4"/>
  <c r="L650" i="4"/>
  <c r="R650" i="4"/>
  <c r="L651" i="4"/>
  <c r="R651" i="4"/>
  <c r="L652" i="4"/>
  <c r="R652" i="4"/>
  <c r="L653" i="4"/>
  <c r="R653" i="4" s="1"/>
  <c r="L654" i="4"/>
  <c r="R654" i="4"/>
  <c r="L655" i="4"/>
  <c r="R655" i="4"/>
  <c r="L656" i="4"/>
  <c r="R656" i="4"/>
  <c r="L657" i="4"/>
  <c r="R657" i="4"/>
  <c r="L658" i="4"/>
  <c r="R658" i="4"/>
  <c r="L659" i="4"/>
  <c r="R659" i="4" s="1"/>
  <c r="L660" i="4"/>
  <c r="R660" i="4"/>
  <c r="L661" i="4"/>
  <c r="R661" i="4"/>
  <c r="L662" i="4"/>
  <c r="R662" i="4"/>
  <c r="L663" i="4"/>
  <c r="R663" i="4"/>
  <c r="L664" i="4"/>
  <c r="R664" i="4"/>
  <c r="L665" i="4"/>
  <c r="R665" i="4" s="1"/>
  <c r="L666" i="4"/>
  <c r="R666" i="4"/>
  <c r="L667" i="4"/>
  <c r="R667" i="4"/>
  <c r="L668" i="4"/>
  <c r="R668" i="4"/>
  <c r="L669" i="4"/>
  <c r="R669" i="4"/>
  <c r="L670" i="4"/>
  <c r="R670" i="4"/>
  <c r="L671" i="4"/>
  <c r="R671" i="4" s="1"/>
  <c r="L672" i="4"/>
  <c r="R672" i="4"/>
  <c r="L673" i="4"/>
  <c r="R673" i="4"/>
  <c r="L674" i="4"/>
  <c r="R674" i="4"/>
  <c r="L675" i="4"/>
  <c r="R675" i="4"/>
  <c r="L676" i="4"/>
  <c r="R676" i="4"/>
  <c r="L677" i="4"/>
  <c r="R677" i="4" s="1"/>
  <c r="L678" i="4"/>
  <c r="R678" i="4"/>
  <c r="L679" i="4"/>
  <c r="R679" i="4"/>
  <c r="L680" i="4"/>
  <c r="R680" i="4"/>
  <c r="L681" i="4"/>
  <c r="R681" i="4"/>
  <c r="L682" i="4"/>
  <c r="R682" i="4"/>
  <c r="L683" i="4"/>
  <c r="R683" i="4" s="1"/>
  <c r="L684" i="4"/>
  <c r="R684" i="4"/>
  <c r="L685" i="4"/>
  <c r="R685" i="4"/>
  <c r="L686" i="4"/>
  <c r="R686" i="4"/>
  <c r="L687" i="4"/>
  <c r="R687" i="4"/>
  <c r="L688" i="4"/>
  <c r="R688" i="4"/>
  <c r="L689" i="4"/>
  <c r="R689" i="4" s="1"/>
  <c r="L690" i="4"/>
  <c r="R690" i="4"/>
  <c r="L691" i="4"/>
  <c r="R691" i="4"/>
  <c r="L692" i="4"/>
  <c r="R692" i="4"/>
  <c r="L693" i="4"/>
  <c r="R693" i="4"/>
  <c r="L694" i="4"/>
  <c r="R694" i="4"/>
  <c r="L695" i="4"/>
  <c r="R695" i="4" s="1"/>
  <c r="L696" i="4"/>
  <c r="R696" i="4"/>
  <c r="L697" i="4"/>
  <c r="R697" i="4"/>
  <c r="L698" i="4"/>
  <c r="R698" i="4"/>
  <c r="L699" i="4"/>
  <c r="R699" i="4"/>
  <c r="L700" i="4"/>
  <c r="R700" i="4"/>
  <c r="L701" i="4"/>
  <c r="R701" i="4" s="1"/>
  <c r="L702" i="4"/>
  <c r="R702" i="4"/>
  <c r="L703" i="4"/>
  <c r="R703" i="4"/>
  <c r="L704" i="4"/>
  <c r="R704" i="4"/>
  <c r="L705" i="4"/>
  <c r="R705" i="4"/>
  <c r="L706" i="4"/>
  <c r="R706" i="4"/>
  <c r="L707" i="4"/>
  <c r="R707" i="4" s="1"/>
  <c r="L708" i="4"/>
  <c r="R708" i="4"/>
  <c r="L709" i="4"/>
  <c r="R709" i="4"/>
  <c r="L710" i="4"/>
  <c r="R710" i="4"/>
  <c r="L711" i="4"/>
  <c r="R711" i="4"/>
  <c r="L712" i="4"/>
  <c r="R712" i="4"/>
  <c r="L713" i="4"/>
  <c r="R713" i="4" s="1"/>
  <c r="L714" i="4"/>
  <c r="R714" i="4" s="1"/>
  <c r="L715" i="4"/>
  <c r="R715" i="4"/>
  <c r="L716" i="4"/>
  <c r="R716" i="4"/>
  <c r="L717" i="4"/>
  <c r="R717" i="4"/>
  <c r="L718" i="4"/>
  <c r="R718" i="4"/>
  <c r="L719" i="4"/>
  <c r="R719" i="4" s="1"/>
  <c r="L720" i="4"/>
  <c r="R720" i="4"/>
  <c r="L721" i="4"/>
  <c r="R721" i="4"/>
  <c r="L722" i="4"/>
  <c r="R722" i="4"/>
  <c r="L723" i="4"/>
  <c r="R723" i="4"/>
  <c r="L724" i="4"/>
  <c r="R724" i="4"/>
  <c r="L725" i="4"/>
  <c r="R725" i="4" s="1"/>
  <c r="L726" i="4"/>
  <c r="R726" i="4"/>
  <c r="L727" i="4"/>
  <c r="R727" i="4"/>
  <c r="L728" i="4"/>
  <c r="R728" i="4"/>
  <c r="L729" i="4"/>
  <c r="R729" i="4"/>
  <c r="L730" i="4"/>
  <c r="R730" i="4"/>
  <c r="L731" i="4"/>
  <c r="R731" i="4" s="1"/>
  <c r="L732" i="4"/>
  <c r="R732" i="4"/>
  <c r="L2" i="4"/>
  <c r="R2" i="4"/>
  <c r="L3" i="4"/>
  <c r="R3" i="4" s="1"/>
  <c r="L4" i="4"/>
  <c r="R4" i="4" s="1"/>
  <c r="L5" i="4"/>
  <c r="R5" i="4"/>
  <c r="L6" i="4"/>
  <c r="R6" i="4"/>
  <c r="L7" i="4"/>
  <c r="R7" i="4"/>
  <c r="L8" i="4"/>
  <c r="R8" i="4"/>
  <c r="L9" i="4"/>
  <c r="R9" i="4" s="1"/>
  <c r="L10" i="4"/>
  <c r="R10" i="4" s="1"/>
  <c r="L11" i="4"/>
  <c r="R11" i="4"/>
  <c r="L12" i="4"/>
  <c r="R12" i="4"/>
  <c r="L13" i="4"/>
  <c r="R13" i="4"/>
  <c r="L14" i="4"/>
  <c r="R14" i="4"/>
  <c r="L15" i="4"/>
  <c r="R15" i="4" s="1"/>
  <c r="L16" i="4"/>
  <c r="R16" i="4" s="1"/>
  <c r="L17" i="4"/>
  <c r="R17" i="4"/>
  <c r="L18" i="4"/>
  <c r="R18" i="4"/>
  <c r="L19" i="4"/>
  <c r="R19" i="4"/>
  <c r="L20" i="4"/>
  <c r="R20" i="4"/>
  <c r="L21" i="4"/>
  <c r="R21" i="4" s="1"/>
  <c r="L22" i="4"/>
  <c r="R22" i="4" s="1"/>
  <c r="L23" i="4"/>
  <c r="R23" i="4"/>
  <c r="L24" i="4"/>
  <c r="R24" i="4"/>
  <c r="L25" i="4"/>
  <c r="R25" i="4"/>
  <c r="L26" i="4"/>
  <c r="R26" i="4"/>
  <c r="L27" i="4"/>
  <c r="R27" i="4" s="1"/>
  <c r="L28" i="4"/>
  <c r="R28" i="4" s="1"/>
  <c r="L29" i="4"/>
  <c r="R29" i="4"/>
  <c r="L30" i="4"/>
  <c r="R30" i="4"/>
  <c r="L31" i="4"/>
  <c r="R31" i="4"/>
  <c r="L32" i="4"/>
  <c r="R32" i="4"/>
  <c r="L33" i="4"/>
  <c r="R33" i="4" s="1"/>
  <c r="L34" i="4"/>
  <c r="R34" i="4" s="1"/>
  <c r="L35" i="4"/>
  <c r="R35" i="4"/>
  <c r="L36" i="4"/>
  <c r="R36" i="4"/>
  <c r="L37" i="4"/>
  <c r="R37" i="4"/>
  <c r="L38" i="4"/>
  <c r="R38" i="4"/>
  <c r="L39" i="4"/>
  <c r="R39" i="4" s="1"/>
  <c r="L40" i="4"/>
  <c r="R40" i="4" s="1"/>
  <c r="L41" i="4"/>
  <c r="R41" i="4"/>
  <c r="L42" i="4"/>
  <c r="R42" i="4"/>
  <c r="L43" i="4"/>
  <c r="R43" i="4"/>
  <c r="L44" i="4"/>
  <c r="R44" i="4"/>
  <c r="L45" i="4"/>
  <c r="R45" i="4" s="1"/>
  <c r="L46" i="4"/>
  <c r="R46" i="4" s="1"/>
  <c r="L47" i="4"/>
  <c r="R47" i="4"/>
  <c r="L48" i="4"/>
  <c r="R48" i="4"/>
  <c r="L49" i="4"/>
  <c r="R49" i="4"/>
  <c r="L50" i="4"/>
  <c r="R50" i="4"/>
  <c r="L51" i="4"/>
  <c r="R51" i="4" s="1"/>
  <c r="L52" i="4"/>
  <c r="R52" i="4" s="1"/>
  <c r="L53" i="4"/>
  <c r="R53" i="4"/>
  <c r="L54" i="4"/>
  <c r="R54" i="4"/>
  <c r="L55" i="4"/>
  <c r="R55" i="4"/>
  <c r="L56" i="4"/>
  <c r="R56" i="4"/>
  <c r="L57" i="4"/>
  <c r="R57" i="4" s="1"/>
  <c r="L58" i="4"/>
  <c r="R58" i="4" s="1"/>
  <c r="L59" i="4"/>
  <c r="R59" i="4"/>
  <c r="L60" i="4"/>
  <c r="R60" i="4"/>
  <c r="L61" i="4"/>
  <c r="R61" i="4"/>
  <c r="L62" i="4"/>
  <c r="R62" i="4"/>
  <c r="L63" i="4"/>
  <c r="R63" i="4" s="1"/>
  <c r="L64" i="4"/>
  <c r="R64" i="4" s="1"/>
  <c r="L65" i="4"/>
  <c r="R65" i="4"/>
  <c r="L66" i="4"/>
  <c r="R66" i="4"/>
  <c r="L67" i="4"/>
  <c r="R67" i="4"/>
  <c r="L68" i="4"/>
  <c r="R68" i="4"/>
  <c r="L69" i="4"/>
  <c r="R69" i="4" s="1"/>
  <c r="L70" i="4"/>
  <c r="R70" i="4" s="1"/>
  <c r="L71" i="4"/>
  <c r="R71" i="4"/>
  <c r="L72" i="4"/>
  <c r="R72" i="4"/>
  <c r="L73" i="4"/>
  <c r="R73" i="4"/>
  <c r="L74" i="4"/>
  <c r="R74" i="4"/>
  <c r="L75" i="4"/>
  <c r="R75" i="4" s="1"/>
  <c r="L76" i="4"/>
  <c r="R76" i="4" s="1"/>
  <c r="L77" i="4"/>
  <c r="R77" i="4" s="1"/>
  <c r="L78" i="4"/>
  <c r="R78" i="4"/>
  <c r="L79" i="4"/>
  <c r="R79" i="4"/>
  <c r="L80" i="4"/>
  <c r="R80" i="4"/>
  <c r="L81" i="4"/>
  <c r="R81" i="4" s="1"/>
  <c r="L82" i="4"/>
  <c r="R82" i="4" s="1"/>
  <c r="L83" i="4"/>
  <c r="R83" i="4" s="1"/>
  <c r="L84" i="4"/>
  <c r="R84" i="4"/>
  <c r="L85" i="4"/>
  <c r="R85" i="4"/>
  <c r="L86" i="4"/>
  <c r="R86" i="4"/>
  <c r="L87" i="4"/>
  <c r="R87" i="4" s="1"/>
  <c r="L88" i="4"/>
  <c r="R88" i="4" s="1"/>
  <c r="L89" i="4"/>
  <c r="R89" i="4" s="1"/>
  <c r="L90" i="4"/>
  <c r="R90" i="4"/>
  <c r="L91" i="4"/>
  <c r="R91" i="4"/>
  <c r="L92" i="4"/>
  <c r="R92" i="4"/>
  <c r="L93" i="4"/>
  <c r="R93" i="4" s="1"/>
  <c r="L94" i="4"/>
  <c r="R94" i="4" s="1"/>
  <c r="L95" i="4"/>
  <c r="R95" i="4" s="1"/>
  <c r="L96" i="4"/>
  <c r="R96" i="4"/>
  <c r="L97" i="4"/>
  <c r="R97" i="4"/>
  <c r="L98" i="4"/>
  <c r="R98" i="4"/>
  <c r="L99" i="4"/>
  <c r="R99" i="4" s="1"/>
  <c r="L100" i="4"/>
  <c r="R100" i="4" s="1"/>
  <c r="L101" i="4"/>
  <c r="R101" i="4" s="1"/>
  <c r="L102" i="4"/>
  <c r="R102" i="4"/>
  <c r="L103" i="4"/>
  <c r="R103" i="4"/>
  <c r="L104" i="4"/>
  <c r="R104" i="4"/>
  <c r="L105" i="4"/>
  <c r="R105" i="4" s="1"/>
  <c r="L106" i="4"/>
  <c r="R106" i="4" s="1"/>
  <c r="L107" i="4"/>
  <c r="R107" i="4" s="1"/>
  <c r="L108" i="4"/>
  <c r="R108" i="4"/>
  <c r="L109" i="4"/>
  <c r="R109" i="4"/>
  <c r="L110" i="4"/>
  <c r="R110" i="4"/>
  <c r="L111" i="4"/>
  <c r="R111" i="4" s="1"/>
  <c r="L112" i="4"/>
  <c r="R112" i="4" s="1"/>
  <c r="L113" i="4"/>
  <c r="R113" i="4" s="1"/>
  <c r="L114" i="4"/>
  <c r="R114" i="4"/>
  <c r="L115" i="4"/>
  <c r="R115" i="4"/>
  <c r="L116" i="4"/>
  <c r="R116" i="4"/>
  <c r="L117" i="4"/>
  <c r="R117" i="4" s="1"/>
  <c r="L118" i="4"/>
  <c r="R118" i="4" s="1"/>
  <c r="L119" i="4"/>
  <c r="R119" i="4" s="1"/>
  <c r="L120" i="4"/>
  <c r="R120" i="4"/>
  <c r="L121" i="4"/>
  <c r="R121" i="4"/>
  <c r="L122" i="4"/>
  <c r="R122" i="4"/>
  <c r="L123" i="4"/>
  <c r="R123" i="4" s="1"/>
  <c r="L124" i="4"/>
  <c r="R124" i="4" s="1"/>
  <c r="L125" i="4"/>
  <c r="R125" i="4" s="1"/>
  <c r="L126" i="4"/>
  <c r="R126" i="4"/>
  <c r="L127" i="4"/>
  <c r="R127" i="4"/>
  <c r="L128" i="4"/>
  <c r="R128" i="4"/>
  <c r="L129" i="4"/>
  <c r="R129" i="4" s="1"/>
  <c r="L130" i="4"/>
  <c r="R130" i="4" s="1"/>
  <c r="L131" i="4"/>
  <c r="R131" i="4" s="1"/>
  <c r="L132" i="4"/>
  <c r="R132" i="4"/>
  <c r="L133" i="4"/>
  <c r="R133" i="4"/>
  <c r="L134" i="4"/>
  <c r="R134" i="4"/>
  <c r="L135" i="4"/>
  <c r="R135" i="4" s="1"/>
  <c r="L136" i="4"/>
  <c r="R136" i="4" s="1"/>
  <c r="L137" i="4"/>
  <c r="R137" i="4" s="1"/>
  <c r="L138" i="4"/>
  <c r="R138" i="4"/>
  <c r="L139" i="4"/>
  <c r="R139" i="4"/>
  <c r="L140" i="4"/>
  <c r="R140" i="4"/>
  <c r="L141" i="4"/>
  <c r="R141" i="4" s="1"/>
  <c r="L142" i="4"/>
  <c r="R142" i="4" s="1"/>
  <c r="L143" i="4"/>
  <c r="R143" i="4" s="1"/>
  <c r="L144" i="4"/>
  <c r="R144" i="4"/>
  <c r="L145" i="4"/>
  <c r="R145" i="4"/>
  <c r="L146" i="4"/>
  <c r="R146" i="4"/>
  <c r="L147" i="4"/>
  <c r="R147" i="4" s="1"/>
  <c r="L148" i="4"/>
  <c r="R148" i="4" s="1"/>
  <c r="L149" i="4"/>
  <c r="R149" i="4" s="1"/>
  <c r="L150" i="4"/>
  <c r="R150" i="4"/>
  <c r="L151" i="4"/>
  <c r="R151" i="4"/>
  <c r="L152" i="4"/>
  <c r="R152" i="4"/>
  <c r="L153" i="4"/>
  <c r="R153" i="4" s="1"/>
  <c r="L154" i="4"/>
  <c r="R154" i="4" s="1"/>
  <c r="L155" i="4"/>
  <c r="R155" i="4" s="1"/>
  <c r="L156" i="4"/>
  <c r="R156" i="4"/>
  <c r="L157" i="4"/>
  <c r="R157" i="4"/>
  <c r="L158" i="4"/>
  <c r="R158" i="4" s="1"/>
  <c r="L159" i="4"/>
  <c r="R159" i="4" s="1"/>
  <c r="L160" i="4"/>
  <c r="R160" i="4" s="1"/>
  <c r="L161" i="4"/>
  <c r="R161" i="4" s="1"/>
  <c r="L162" i="4"/>
  <c r="R162" i="4"/>
  <c r="L163" i="4"/>
  <c r="R163" i="4"/>
  <c r="L164" i="4"/>
  <c r="R164" i="4" s="1"/>
  <c r="L165" i="4"/>
  <c r="R165" i="4" s="1"/>
  <c r="L166" i="4"/>
  <c r="R166" i="4" s="1"/>
  <c r="L167" i="4"/>
  <c r="R167" i="4" s="1"/>
  <c r="L168" i="4"/>
  <c r="R168" i="4"/>
  <c r="L169" i="4"/>
  <c r="R169" i="4"/>
  <c r="L170" i="4"/>
  <c r="R170" i="4" s="1"/>
  <c r="L171" i="4"/>
  <c r="R171" i="4" s="1"/>
  <c r="L172" i="4"/>
  <c r="R172" i="4" s="1"/>
  <c r="L173" i="4"/>
  <c r="R173" i="4" s="1"/>
  <c r="L174" i="4"/>
  <c r="R174" i="4"/>
  <c r="L175" i="4"/>
  <c r="R175" i="4"/>
  <c r="L176" i="4"/>
  <c r="R176" i="4" s="1"/>
  <c r="L177" i="4"/>
  <c r="R177" i="4" s="1"/>
  <c r="L178" i="4"/>
  <c r="R178" i="4" s="1"/>
  <c r="L179" i="4"/>
  <c r="R179" i="4" s="1"/>
  <c r="L180" i="4"/>
  <c r="R180" i="4"/>
  <c r="L181" i="4"/>
  <c r="R181" i="4"/>
  <c r="L182" i="4"/>
  <c r="R182" i="4" s="1"/>
  <c r="L183" i="4"/>
  <c r="R183" i="4" s="1"/>
  <c r="L184" i="4"/>
  <c r="R184" i="4" s="1"/>
  <c r="L185" i="4"/>
  <c r="R185" i="4" s="1"/>
  <c r="L186" i="4"/>
  <c r="R186" i="4"/>
  <c r="L187" i="4"/>
  <c r="R187" i="4"/>
  <c r="L188" i="4"/>
  <c r="R188" i="4" s="1"/>
  <c r="L189" i="4"/>
  <c r="R189" i="4" s="1"/>
  <c r="L190" i="4"/>
  <c r="R190" i="4" s="1"/>
  <c r="L191" i="4"/>
  <c r="R191" i="4" s="1"/>
  <c r="L192" i="4"/>
  <c r="R192" i="4"/>
  <c r="L193" i="4"/>
  <c r="R193" i="4"/>
  <c r="L194" i="4"/>
  <c r="R194" i="4" s="1"/>
  <c r="L195" i="4"/>
  <c r="R195" i="4" s="1"/>
  <c r="L196" i="4"/>
  <c r="R196" i="4" s="1"/>
  <c r="L197" i="4"/>
  <c r="R197" i="4" s="1"/>
  <c r="L198" i="4"/>
  <c r="R198" i="4"/>
  <c r="L199" i="4"/>
  <c r="R199" i="4"/>
  <c r="L200" i="4"/>
  <c r="R200" i="4" s="1"/>
  <c r="L201" i="4"/>
  <c r="R201" i="4" s="1"/>
  <c r="L202" i="4"/>
  <c r="R202" i="4" s="1"/>
  <c r="L203" i="4"/>
  <c r="R203" i="4" s="1"/>
  <c r="L204" i="4"/>
  <c r="R204" i="4"/>
  <c r="L205" i="4"/>
  <c r="R205" i="4"/>
  <c r="L206" i="4"/>
  <c r="R206" i="4" s="1"/>
  <c r="L207" i="4"/>
  <c r="R207" i="4" s="1"/>
  <c r="L208" i="4"/>
  <c r="R208" i="4" s="1"/>
  <c r="L209" i="4"/>
  <c r="R209" i="4" s="1"/>
  <c r="L210" i="4"/>
  <c r="R210" i="4"/>
  <c r="L211" i="4"/>
  <c r="R211" i="4"/>
  <c r="L212" i="4"/>
  <c r="R212" i="4" s="1"/>
  <c r="L213" i="4"/>
  <c r="R213" i="4" s="1"/>
  <c r="L214" i="4"/>
  <c r="R214" i="4" s="1"/>
  <c r="L215" i="4"/>
  <c r="R215" i="4" s="1"/>
  <c r="L216" i="4"/>
  <c r="R216" i="4"/>
  <c r="L217" i="4"/>
  <c r="R217" i="4"/>
  <c r="L218" i="4"/>
  <c r="R218" i="4" s="1"/>
  <c r="L219" i="4"/>
  <c r="R219" i="4" s="1"/>
  <c r="L220" i="4"/>
  <c r="R220" i="4" s="1"/>
  <c r="L221" i="4"/>
  <c r="R221" i="4" s="1"/>
  <c r="L222" i="4"/>
  <c r="R222" i="4"/>
  <c r="L223" i="4"/>
  <c r="R223" i="4"/>
  <c r="L224" i="4"/>
  <c r="R224" i="4" s="1"/>
  <c r="L225" i="4"/>
  <c r="R225" i="4" s="1"/>
  <c r="L226" i="4"/>
  <c r="R226" i="4" s="1"/>
  <c r="L227" i="4"/>
  <c r="R227" i="4" s="1"/>
  <c r="L228" i="4"/>
  <c r="R228" i="4"/>
  <c r="L229" i="4"/>
  <c r="R229" i="4"/>
  <c r="L230" i="4"/>
  <c r="R230" i="4" s="1"/>
  <c r="L231" i="4"/>
  <c r="R231" i="4" s="1"/>
  <c r="L232" i="4"/>
  <c r="R232" i="4" s="1"/>
  <c r="L233" i="4"/>
  <c r="R233" i="4" s="1"/>
  <c r="L234" i="4"/>
  <c r="R234" i="4"/>
  <c r="L235" i="4"/>
  <c r="R235" i="4"/>
  <c r="L236" i="4"/>
  <c r="R236" i="4" s="1"/>
  <c r="L237" i="4"/>
  <c r="R237" i="4" s="1"/>
  <c r="L238" i="4"/>
  <c r="R238" i="4" s="1"/>
  <c r="L239" i="4"/>
  <c r="R239" i="4" s="1"/>
  <c r="L240" i="4"/>
  <c r="R240" i="4"/>
  <c r="L241" i="4"/>
  <c r="R241" i="4"/>
  <c r="L242" i="4"/>
  <c r="R242" i="4" s="1"/>
  <c r="L243" i="4"/>
  <c r="R243" i="4" s="1"/>
  <c r="L244" i="4"/>
  <c r="R244" i="4" s="1"/>
  <c r="L245" i="4"/>
  <c r="R245" i="4" s="1"/>
  <c r="L246" i="4"/>
  <c r="R246" i="4"/>
  <c r="L247" i="4"/>
  <c r="R247" i="4"/>
  <c r="L248" i="4"/>
  <c r="R248" i="4" s="1"/>
  <c r="L249" i="4"/>
  <c r="R249" i="4" s="1"/>
  <c r="L250" i="4"/>
  <c r="R250" i="4" s="1"/>
  <c r="L251" i="4"/>
  <c r="R251" i="4" s="1"/>
  <c r="L252" i="4"/>
  <c r="R252" i="4"/>
  <c r="L253" i="4"/>
  <c r="R253" i="4"/>
  <c r="L254" i="4"/>
  <c r="R254" i="4" s="1"/>
  <c r="L255" i="4"/>
  <c r="R255" i="4" s="1"/>
  <c r="L256" i="4"/>
  <c r="R256" i="4" s="1"/>
  <c r="L257" i="4"/>
  <c r="R257" i="4" s="1"/>
  <c r="L258" i="4"/>
  <c r="R258" i="4"/>
  <c r="L259" i="4"/>
  <c r="R259" i="4"/>
  <c r="L260" i="4"/>
  <c r="R260" i="4" s="1"/>
  <c r="L261" i="4"/>
  <c r="R261" i="4" s="1"/>
  <c r="L262" i="4"/>
  <c r="R262" i="4" s="1"/>
  <c r="L263" i="4"/>
  <c r="R263" i="4" s="1"/>
  <c r="L264" i="4"/>
  <c r="R264" i="4"/>
  <c r="L265" i="4"/>
  <c r="R265" i="4"/>
  <c r="L266" i="4"/>
  <c r="R266" i="4" s="1"/>
  <c r="L267" i="4"/>
  <c r="R267" i="4" s="1"/>
  <c r="L268" i="4"/>
  <c r="R268" i="4" s="1"/>
  <c r="L269" i="4"/>
  <c r="R269" i="4" s="1"/>
  <c r="L270" i="4"/>
  <c r="R270" i="4"/>
  <c r="L271" i="4"/>
  <c r="R271" i="4"/>
  <c r="L272" i="4"/>
  <c r="R272" i="4" s="1"/>
  <c r="L273" i="4"/>
  <c r="R273" i="4" s="1"/>
  <c r="L274" i="4"/>
  <c r="R274" i="4" s="1"/>
  <c r="L275" i="4"/>
  <c r="R275" i="4" s="1"/>
  <c r="L276" i="4"/>
  <c r="R276" i="4"/>
  <c r="L277" i="4"/>
  <c r="R277" i="4"/>
  <c r="L278" i="4"/>
  <c r="R278" i="4" s="1"/>
  <c r="L279" i="4"/>
  <c r="R279" i="4" s="1"/>
  <c r="L280" i="4"/>
  <c r="R280" i="4" s="1"/>
  <c r="L281" i="4"/>
  <c r="R281" i="4" s="1"/>
  <c r="L282" i="4"/>
  <c r="R282" i="4"/>
  <c r="L283" i="4"/>
  <c r="R283" i="4"/>
  <c r="L284" i="4"/>
  <c r="R284" i="4" s="1"/>
  <c r="L285" i="4"/>
  <c r="R285" i="4" s="1"/>
  <c r="L286" i="4"/>
  <c r="R286" i="4" s="1"/>
  <c r="L287" i="4"/>
  <c r="R287" i="4" s="1"/>
  <c r="L288" i="4"/>
  <c r="R288" i="4"/>
  <c r="L289" i="4"/>
  <c r="R289" i="4"/>
  <c r="L290" i="4"/>
  <c r="R290" i="4" s="1"/>
  <c r="L291" i="4"/>
  <c r="R291" i="4" s="1"/>
  <c r="L292" i="4"/>
  <c r="R292" i="4" s="1"/>
  <c r="L293" i="4"/>
  <c r="R293" i="4" s="1"/>
  <c r="L294" i="4"/>
  <c r="R294" i="4"/>
  <c r="L295" i="4"/>
  <c r="R295" i="4"/>
  <c r="L296" i="4"/>
  <c r="R296" i="4" s="1"/>
  <c r="L297" i="4"/>
  <c r="R297" i="4" s="1"/>
  <c r="L298" i="4"/>
  <c r="R298" i="4" s="1"/>
  <c r="L299" i="4"/>
  <c r="R299" i="4" s="1"/>
  <c r="L300" i="4"/>
  <c r="R300" i="4"/>
  <c r="L301" i="4"/>
  <c r="R301" i="4"/>
  <c r="L302" i="4"/>
  <c r="R302" i="4" s="1"/>
  <c r="L303" i="4"/>
  <c r="R303" i="4" s="1"/>
  <c r="L304" i="4"/>
  <c r="R304" i="4" s="1"/>
  <c r="L305" i="4"/>
  <c r="R305" i="4" s="1"/>
  <c r="L306" i="4"/>
  <c r="R306" i="4"/>
  <c r="L307" i="4"/>
  <c r="R307" i="4"/>
  <c r="L308" i="4"/>
  <c r="R308" i="4" s="1"/>
  <c r="L309" i="4"/>
  <c r="R309" i="4" s="1"/>
  <c r="L310" i="4"/>
  <c r="R310" i="4" s="1"/>
  <c r="L311" i="4"/>
  <c r="R311" i="4" s="1"/>
  <c r="L312" i="4"/>
  <c r="R312" i="4" s="1"/>
  <c r="L313" i="4"/>
  <c r="R313" i="4"/>
  <c r="L314" i="4"/>
  <c r="R314" i="4" s="1"/>
  <c r="L315" i="4"/>
  <c r="R315" i="4" s="1"/>
  <c r="L316" i="4"/>
  <c r="R316" i="4" s="1"/>
  <c r="L317" i="4"/>
  <c r="R317" i="4" s="1"/>
  <c r="L318" i="4"/>
  <c r="R318" i="4" s="1"/>
  <c r="L319" i="4"/>
  <c r="R319" i="4"/>
  <c r="L320" i="4"/>
  <c r="R320" i="4" s="1"/>
  <c r="L321" i="4"/>
  <c r="R321" i="4" s="1"/>
  <c r="L322" i="4"/>
  <c r="R322" i="4" s="1"/>
  <c r="L323" i="4"/>
  <c r="R323" i="4" s="1"/>
  <c r="L324" i="4"/>
  <c r="R324" i="4"/>
  <c r="L325" i="4"/>
  <c r="R325" i="4"/>
  <c r="L326" i="4"/>
  <c r="R326" i="4" s="1"/>
  <c r="L327" i="4"/>
  <c r="R327" i="4" s="1"/>
  <c r="L328" i="4"/>
  <c r="R328" i="4" s="1"/>
  <c r="L329" i="4"/>
  <c r="R329" i="4" s="1"/>
  <c r="L330" i="4"/>
  <c r="R330" i="4" s="1"/>
  <c r="L331" i="4"/>
  <c r="R331" i="4"/>
  <c r="L332" i="4"/>
  <c r="R332" i="4" s="1"/>
  <c r="L333" i="4"/>
  <c r="R333" i="4" s="1"/>
  <c r="L334" i="4"/>
  <c r="R334" i="4" s="1"/>
  <c r="L335" i="4"/>
  <c r="R335" i="4" s="1"/>
  <c r="L336" i="4"/>
  <c r="R336" i="4" s="1"/>
  <c r="L337" i="4"/>
  <c r="R337" i="4"/>
  <c r="L338" i="4"/>
  <c r="R338" i="4" s="1"/>
  <c r="L339" i="4"/>
  <c r="R339" i="4" s="1"/>
  <c r="L340" i="4"/>
  <c r="R340" i="4" s="1"/>
  <c r="L341" i="4"/>
  <c r="R341" i="4" s="1"/>
  <c r="L342" i="4"/>
  <c r="R342" i="4" s="1"/>
  <c r="L343" i="4"/>
  <c r="R343" i="4" s="1"/>
  <c r="L344" i="4"/>
  <c r="R344" i="4" s="1"/>
  <c r="L345" i="4"/>
  <c r="R345" i="4" s="1"/>
  <c r="L346" i="4"/>
  <c r="R346" i="4" s="1"/>
  <c r="L347" i="4"/>
  <c r="R347" i="4" s="1"/>
  <c r="L348" i="4"/>
  <c r="R348" i="4"/>
  <c r="L349" i="4"/>
  <c r="R349" i="4"/>
  <c r="L350" i="4"/>
  <c r="R350" i="4"/>
  <c r="L351" i="4"/>
  <c r="R351" i="4" s="1"/>
  <c r="L352" i="4"/>
  <c r="R352" i="4" s="1"/>
  <c r="L353" i="4"/>
  <c r="R353" i="4" s="1"/>
  <c r="L354" i="4"/>
  <c r="R354" i="4"/>
  <c r="L355" i="4"/>
  <c r="R355" i="4"/>
  <c r="L356" i="4"/>
  <c r="R356" i="4"/>
  <c r="L357" i="4"/>
  <c r="R357" i="4" s="1"/>
  <c r="L358" i="4"/>
  <c r="R358" i="4" s="1"/>
  <c r="L359" i="4"/>
  <c r="R359" i="4" s="1"/>
  <c r="L360" i="4"/>
  <c r="R360" i="4" s="1"/>
  <c r="L361" i="4"/>
  <c r="R361" i="4"/>
  <c r="L362" i="4"/>
  <c r="R362" i="4" s="1"/>
  <c r="L363" i="4"/>
  <c r="R363" i="4" s="1"/>
  <c r="L364" i="4"/>
  <c r="R364" i="4" s="1"/>
  <c r="L365" i="4"/>
  <c r="R365" i="4" s="1"/>
  <c r="L366" i="4"/>
  <c r="R366" i="4" s="1"/>
  <c r="L367" i="4"/>
  <c r="R367" i="4" s="1"/>
  <c r="L368" i="4"/>
  <c r="R368" i="4" s="1"/>
  <c r="L369" i="4"/>
  <c r="R369" i="4" s="1"/>
  <c r="L370" i="4"/>
  <c r="R370" i="4" s="1"/>
  <c r="L371" i="4"/>
  <c r="R371" i="4" s="1"/>
  <c r="L372" i="4"/>
  <c r="R372" i="4"/>
  <c r="L373" i="4"/>
  <c r="R373" i="4"/>
  <c r="L374" i="4"/>
  <c r="R374" i="4"/>
  <c r="L375" i="4"/>
  <c r="R375" i="4" s="1"/>
  <c r="L376" i="4"/>
  <c r="R376" i="4" s="1"/>
  <c r="L377" i="4"/>
  <c r="R377" i="4" s="1"/>
  <c r="L378" i="4"/>
  <c r="R378" i="4"/>
  <c r="L379" i="4"/>
  <c r="R379" i="4"/>
  <c r="L380" i="4"/>
  <c r="R380" i="4"/>
  <c r="L381" i="4"/>
  <c r="R381" i="4" s="1"/>
  <c r="L382" i="4"/>
  <c r="R382" i="4" s="1"/>
  <c r="L383" i="4"/>
  <c r="R383" i="4" s="1"/>
  <c r="L384" i="4"/>
  <c r="R384" i="4" s="1"/>
  <c r="L385" i="4"/>
  <c r="R385" i="4"/>
  <c r="L386" i="4"/>
  <c r="R386" i="4" s="1"/>
  <c r="L387" i="4"/>
  <c r="R387" i="4" s="1"/>
  <c r="L388" i="4"/>
  <c r="R388" i="4" s="1"/>
  <c r="L389" i="4"/>
  <c r="R389" i="4" s="1"/>
  <c r="L390" i="4"/>
  <c r="R390" i="4" s="1"/>
  <c r="L391" i="4"/>
  <c r="R391" i="4" s="1"/>
  <c r="L392" i="4"/>
  <c r="R392" i="4" s="1"/>
  <c r="L393" i="4"/>
  <c r="R393" i="4" s="1"/>
  <c r="L394" i="4"/>
  <c r="R394" i="4" s="1"/>
  <c r="L395" i="4"/>
  <c r="R395" i="4" s="1"/>
  <c r="L396" i="4"/>
  <c r="R396" i="4"/>
  <c r="L397" i="4"/>
  <c r="R397" i="4"/>
  <c r="L398" i="4"/>
  <c r="R398" i="4"/>
  <c r="L399" i="4"/>
  <c r="R399" i="4" s="1"/>
  <c r="L400" i="4"/>
  <c r="R400" i="4" s="1"/>
  <c r="L401" i="4"/>
  <c r="R401" i="4" s="1"/>
  <c r="L402" i="4"/>
  <c r="R402" i="4"/>
  <c r="L403" i="4"/>
  <c r="R403" i="4"/>
  <c r="L404" i="4"/>
  <c r="R404" i="4"/>
  <c r="L405" i="4"/>
  <c r="R405" i="4" s="1"/>
  <c r="L406" i="4"/>
  <c r="R406" i="4" s="1"/>
  <c r="L407" i="4"/>
  <c r="R407" i="4" s="1"/>
  <c r="L408" i="4"/>
  <c r="R408" i="4" s="1"/>
  <c r="L409" i="4"/>
  <c r="R409" i="4"/>
  <c r="L410" i="4"/>
  <c r="R410" i="4" s="1"/>
  <c r="L411" i="4"/>
  <c r="R411" i="4" s="1"/>
  <c r="L412" i="4"/>
  <c r="R412" i="4" s="1"/>
  <c r="L413" i="4"/>
  <c r="R413" i="4"/>
  <c r="L414" i="4"/>
  <c r="R414" i="4"/>
  <c r="L415" i="4"/>
  <c r="R415" i="4" s="1"/>
  <c r="L416" i="4"/>
  <c r="R416" i="4"/>
  <c r="L417" i="4"/>
  <c r="R417" i="4" s="1"/>
  <c r="L418" i="4"/>
  <c r="R418" i="4" s="1"/>
  <c r="L419" i="4"/>
  <c r="R419" i="4"/>
  <c r="L420" i="4"/>
  <c r="R420" i="4"/>
  <c r="L421" i="4"/>
  <c r="R421" i="4"/>
  <c r="L422" i="4"/>
  <c r="R422" i="4" s="1"/>
  <c r="L423" i="4"/>
  <c r="R423" i="4" s="1"/>
  <c r="L424" i="4"/>
  <c r="R424" i="4" s="1"/>
  <c r="L425" i="4"/>
  <c r="R425" i="4" s="1"/>
  <c r="L426" i="4"/>
  <c r="R426" i="4"/>
  <c r="L427" i="4"/>
  <c r="R427" i="4"/>
  <c r="L428" i="4"/>
  <c r="R428" i="4"/>
  <c r="L429" i="4"/>
  <c r="R429" i="4" s="1"/>
  <c r="L430" i="4"/>
  <c r="R430" i="4" s="1"/>
  <c r="L431" i="4"/>
  <c r="R431" i="4"/>
  <c r="L432" i="4"/>
  <c r="R432" i="4" s="1"/>
  <c r="L433" i="4"/>
  <c r="R433" i="4"/>
  <c r="L434" i="4"/>
  <c r="R434" i="4"/>
  <c r="L435" i="4"/>
  <c r="R435" i="4" s="1"/>
  <c r="L436" i="4"/>
  <c r="R436" i="4" s="1"/>
  <c r="L437" i="4"/>
  <c r="R437" i="4" s="1"/>
  <c r="L438" i="4"/>
  <c r="R438" i="4"/>
  <c r="L439" i="4"/>
  <c r="R439" i="4" s="1"/>
  <c r="L440" i="4"/>
  <c r="R440" i="4"/>
  <c r="L441" i="4"/>
  <c r="R441" i="4" s="1"/>
  <c r="L442" i="4"/>
  <c r="R442" i="4" s="1"/>
  <c r="L443" i="4"/>
  <c r="R443" i="4"/>
  <c r="L444" i="4"/>
  <c r="R444" i="4" s="1"/>
  <c r="L445" i="4"/>
  <c r="R445" i="4"/>
  <c r="L446" i="4"/>
  <c r="R446" i="4" s="1"/>
  <c r="L447" i="4"/>
  <c r="R447" i="4" s="1"/>
  <c r="L448" i="4"/>
  <c r="R448" i="4" s="1"/>
  <c r="L449" i="4"/>
  <c r="R449" i="4"/>
  <c r="L450" i="4"/>
  <c r="R450" i="4"/>
  <c r="L451" i="4"/>
  <c r="R451" i="4" s="1"/>
  <c r="L452" i="4"/>
  <c r="R452" i="4"/>
  <c r="L453" i="4"/>
  <c r="R453" i="4" s="1"/>
  <c r="L454" i="4"/>
  <c r="R454" i="4" s="1"/>
  <c r="L455" i="4"/>
  <c r="R455" i="4"/>
  <c r="L456" i="4"/>
  <c r="R456" i="4"/>
  <c r="L457" i="4"/>
  <c r="R457" i="4"/>
  <c r="L458" i="4"/>
  <c r="R458" i="4" s="1"/>
  <c r="L459" i="4"/>
  <c r="R459" i="4" s="1"/>
  <c r="L460" i="4"/>
  <c r="R460" i="4" s="1"/>
  <c r="L461" i="4"/>
  <c r="R461" i="4" s="1"/>
  <c r="L462" i="4"/>
  <c r="R462" i="4"/>
  <c r="L463" i="4"/>
  <c r="R463" i="4"/>
  <c r="L464" i="4"/>
  <c r="R464" i="4"/>
  <c r="L465" i="4"/>
  <c r="R465" i="4" s="1"/>
  <c r="L466" i="4"/>
  <c r="R466" i="4" s="1"/>
  <c r="L467" i="4"/>
  <c r="R467" i="4"/>
  <c r="L468" i="4"/>
  <c r="R468" i="4" s="1"/>
  <c r="L469" i="4"/>
  <c r="R469" i="4"/>
  <c r="L470" i="4"/>
  <c r="R470" i="4"/>
  <c r="L471" i="4"/>
  <c r="R471" i="4" s="1"/>
  <c r="L472" i="4"/>
  <c r="R472" i="4" s="1"/>
  <c r="L473" i="4"/>
  <c r="R473" i="4" s="1"/>
  <c r="L474" i="4"/>
  <c r="R474" i="4"/>
  <c r="L475" i="4"/>
  <c r="R475" i="4" s="1"/>
  <c r="L476" i="4"/>
  <c r="R476" i="4"/>
  <c r="L477" i="4"/>
  <c r="R477" i="4" s="1"/>
  <c r="L478" i="4"/>
  <c r="R478" i="4" s="1"/>
  <c r="L479" i="4"/>
  <c r="R479" i="4"/>
  <c r="L480" i="4"/>
  <c r="R480" i="4" s="1"/>
  <c r="L481" i="4"/>
  <c r="R481" i="4"/>
  <c r="L482" i="4"/>
  <c r="R482" i="4" s="1"/>
  <c r="L483" i="4"/>
  <c r="R483" i="4" s="1"/>
  <c r="L484" i="4"/>
  <c r="R484" i="4" s="1"/>
  <c r="L485" i="4"/>
  <c r="R485" i="4"/>
  <c r="L486" i="4"/>
  <c r="R486" i="4"/>
  <c r="L487" i="4"/>
  <c r="R487" i="4" s="1"/>
  <c r="L488" i="4"/>
  <c r="R488" i="4"/>
  <c r="L489" i="4"/>
  <c r="R489" i="4" s="1"/>
  <c r="L490" i="4"/>
  <c r="R490" i="4" s="1"/>
  <c r="L491" i="4"/>
  <c r="R491" i="4"/>
  <c r="L492" i="4"/>
  <c r="R492" i="4"/>
  <c r="L493" i="4"/>
  <c r="R493" i="4"/>
  <c r="L494" i="4"/>
  <c r="R494" i="4" s="1"/>
  <c r="L495" i="4"/>
  <c r="R495" i="4" s="1"/>
  <c r="L496" i="4"/>
  <c r="R496" i="4" s="1"/>
  <c r="L497" i="4"/>
  <c r="R497" i="4" s="1"/>
  <c r="L498" i="4"/>
  <c r="R498" i="4"/>
  <c r="L499" i="4"/>
  <c r="R499" i="4"/>
  <c r="L500" i="4"/>
  <c r="R500" i="4"/>
  <c r="L501" i="4"/>
  <c r="R501" i="4" s="1"/>
  <c r="L502" i="4"/>
  <c r="R502" i="4" s="1"/>
  <c r="L503" i="4"/>
  <c r="R503" i="4"/>
  <c r="L504" i="4"/>
  <c r="R504" i="4" s="1"/>
  <c r="L505" i="4"/>
  <c r="R505" i="4"/>
  <c r="L506" i="4"/>
  <c r="R506" i="4"/>
  <c r="L507" i="4"/>
  <c r="R507" i="4" s="1"/>
  <c r="L508" i="4"/>
  <c r="R508" i="4" s="1"/>
  <c r="L509" i="4"/>
  <c r="R509" i="4" s="1"/>
  <c r="L510" i="4"/>
  <c r="R510" i="4"/>
  <c r="L511" i="4"/>
  <c r="R511" i="4" s="1"/>
  <c r="L512" i="4"/>
  <c r="R512" i="4"/>
  <c r="L513" i="4"/>
  <c r="R513" i="4"/>
  <c r="L514" i="4"/>
  <c r="R514" i="4"/>
  <c r="L515" i="4"/>
  <c r="R515" i="4" s="1"/>
  <c r="L516" i="4"/>
  <c r="R516" i="4"/>
  <c r="L517" i="4"/>
  <c r="R517" i="4" s="1"/>
  <c r="L518" i="4"/>
  <c r="R518" i="4"/>
  <c r="L519" i="4"/>
  <c r="R519" i="4"/>
  <c r="L520" i="4"/>
  <c r="R520" i="4"/>
  <c r="L521" i="4"/>
  <c r="R521" i="4" s="1"/>
  <c r="L522" i="4"/>
  <c r="R522" i="4"/>
  <c r="L523" i="4"/>
  <c r="R523" i="4" s="1"/>
  <c r="L524" i="4"/>
  <c r="R524" i="4"/>
  <c r="L525" i="4"/>
  <c r="R525" i="4"/>
  <c r="L526" i="4"/>
  <c r="R526" i="4"/>
  <c r="L527" i="4"/>
  <c r="R527" i="4" s="1"/>
  <c r="L528" i="4"/>
  <c r="R528" i="4"/>
  <c r="L529" i="4"/>
  <c r="R529" i="4" s="1"/>
  <c r="L530" i="4"/>
  <c r="R530" i="4"/>
  <c r="L531" i="4"/>
  <c r="R531" i="4"/>
  <c r="L532" i="4"/>
  <c r="R532" i="4"/>
  <c r="L533" i="4"/>
  <c r="R533" i="4" s="1"/>
  <c r="L534" i="4"/>
  <c r="R534" i="4"/>
  <c r="L535" i="4"/>
  <c r="R535" i="4" s="1"/>
  <c r="L536" i="4"/>
  <c r="R536" i="4"/>
  <c r="L537" i="4"/>
  <c r="R537" i="4"/>
  <c r="L538" i="4"/>
  <c r="R538" i="4"/>
  <c r="L539" i="4"/>
  <c r="R539" i="4" s="1"/>
  <c r="L540" i="4"/>
  <c r="R540" i="4"/>
  <c r="L541" i="4"/>
  <c r="R541" i="4" s="1"/>
  <c r="L542" i="4"/>
  <c r="R542" i="4"/>
  <c r="L543" i="4"/>
  <c r="R543" i="4"/>
  <c r="L544" i="4"/>
  <c r="R544" i="4"/>
  <c r="L545" i="4"/>
  <c r="R545" i="4" s="1"/>
  <c r="L546" i="4"/>
  <c r="R546" i="4"/>
  <c r="L547" i="4"/>
  <c r="R547" i="4" s="1"/>
  <c r="L548" i="4"/>
  <c r="R548" i="4"/>
  <c r="L549" i="4"/>
  <c r="R549" i="4"/>
  <c r="L550" i="4"/>
  <c r="R550" i="4"/>
  <c r="L551" i="4"/>
  <c r="R551" i="4" s="1"/>
  <c r="L552" i="4"/>
  <c r="R552" i="4"/>
  <c r="L553" i="4"/>
  <c r="R553" i="4" s="1"/>
  <c r="L554" i="4"/>
  <c r="R554" i="4"/>
  <c r="L555" i="4"/>
  <c r="R555" i="4"/>
  <c r="L556" i="4"/>
  <c r="R556" i="4"/>
  <c r="L557" i="4"/>
  <c r="R557" i="4" s="1"/>
  <c r="L558" i="4"/>
  <c r="R558" i="4"/>
  <c r="L559" i="4"/>
  <c r="R559" i="4" s="1"/>
  <c r="L560" i="4"/>
  <c r="R560" i="4"/>
  <c r="L561" i="4"/>
  <c r="R561" i="4"/>
  <c r="L562" i="4"/>
  <c r="R562" i="4"/>
  <c r="L563" i="4"/>
  <c r="R563" i="4" s="1"/>
  <c r="L564" i="4"/>
  <c r="R564" i="4"/>
  <c r="L565" i="4"/>
  <c r="R565" i="4" s="1"/>
  <c r="L566" i="4"/>
  <c r="R566" i="4"/>
  <c r="L567" i="4"/>
  <c r="R567" i="4"/>
  <c r="L568" i="4"/>
  <c r="R568" i="4"/>
  <c r="L569" i="4"/>
  <c r="R569" i="4" s="1"/>
  <c r="L570" i="4"/>
  <c r="R570" i="4"/>
  <c r="L571" i="4"/>
  <c r="R571" i="4" s="1"/>
  <c r="L572" i="4"/>
  <c r="R572" i="4"/>
  <c r="L573" i="4"/>
  <c r="R573" i="4"/>
  <c r="L574" i="4"/>
  <c r="R574" i="4"/>
  <c r="L575" i="4"/>
  <c r="R575" i="4" s="1"/>
  <c r="L576" i="4"/>
  <c r="R576" i="4"/>
  <c r="L577" i="4"/>
  <c r="R577" i="4" s="1"/>
  <c r="L578" i="4"/>
  <c r="R578" i="4"/>
  <c r="L579" i="4"/>
  <c r="R579" i="4"/>
  <c r="L580" i="4"/>
  <c r="R580" i="4"/>
  <c r="L581" i="4"/>
  <c r="R581" i="4" s="1"/>
  <c r="L582" i="4"/>
  <c r="R582" i="4"/>
  <c r="L583" i="4"/>
  <c r="R583" i="4" s="1"/>
  <c r="L584" i="4"/>
  <c r="R584" i="4"/>
  <c r="L585" i="4"/>
  <c r="R585" i="4"/>
  <c r="L586" i="4"/>
  <c r="R586" i="4"/>
  <c r="L587" i="4"/>
  <c r="R587" i="4" s="1"/>
  <c r="L588" i="4"/>
  <c r="R588" i="4"/>
  <c r="L589" i="4"/>
  <c r="R589" i="4" s="1"/>
  <c r="L590" i="4"/>
  <c r="R590" i="4"/>
  <c r="L591" i="4"/>
  <c r="R591" i="4"/>
  <c r="L592" i="4"/>
  <c r="R592" i="4"/>
  <c r="L593" i="4"/>
  <c r="R593" i="4" s="1"/>
  <c r="L594" i="4"/>
  <c r="R594" i="4"/>
  <c r="L595" i="4"/>
  <c r="R595" i="4" s="1"/>
  <c r="L596" i="4"/>
  <c r="R596" i="4"/>
  <c r="L597" i="4"/>
  <c r="R597" i="4"/>
  <c r="L598" i="4"/>
  <c r="R598" i="4"/>
  <c r="L599" i="4"/>
  <c r="R599" i="4" s="1"/>
  <c r="L600" i="4"/>
  <c r="R600" i="4"/>
  <c r="L601" i="4"/>
  <c r="R601" i="4" s="1"/>
  <c r="L602" i="4"/>
  <c r="R602" i="4"/>
  <c r="L603" i="4"/>
  <c r="R603" i="4"/>
  <c r="L604" i="4"/>
  <c r="R604" i="4"/>
  <c r="L605" i="4"/>
  <c r="R605" i="4" s="1"/>
  <c r="L606" i="4"/>
  <c r="R606" i="4"/>
  <c r="L607" i="4"/>
  <c r="R607" i="4" s="1"/>
  <c r="L608" i="4"/>
  <c r="R608" i="4"/>
  <c r="L609" i="4"/>
  <c r="R609" i="4"/>
  <c r="L610" i="4"/>
  <c r="R610" i="4"/>
  <c r="L611" i="4"/>
  <c r="R611" i="4" s="1"/>
  <c r="L612" i="4"/>
  <c r="R612" i="4"/>
  <c r="L613" i="4"/>
  <c r="R613" i="4" s="1"/>
  <c r="L614" i="4"/>
  <c r="R614" i="4"/>
  <c r="BJ2" i="4" l="1"/>
  <c r="BJ3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BJ174" i="4"/>
  <c r="BJ175" i="4"/>
  <c r="BJ176" i="4"/>
  <c r="BJ177" i="4"/>
  <c r="BJ178" i="4"/>
  <c r="BJ179" i="4"/>
  <c r="BJ180" i="4"/>
  <c r="BJ181" i="4"/>
  <c r="BJ182" i="4"/>
  <c r="BJ183" i="4"/>
  <c r="BJ184" i="4"/>
  <c r="BJ185" i="4"/>
  <c r="BJ186" i="4"/>
  <c r="BJ187" i="4"/>
  <c r="BJ188" i="4"/>
  <c r="BJ189" i="4"/>
  <c r="BJ190" i="4"/>
  <c r="BJ191" i="4"/>
  <c r="BJ192" i="4"/>
  <c r="BJ193" i="4"/>
  <c r="BJ194" i="4"/>
  <c r="BJ195" i="4"/>
  <c r="BJ196" i="4"/>
  <c r="BJ197" i="4"/>
  <c r="BJ198" i="4"/>
  <c r="BJ199" i="4"/>
  <c r="BJ200" i="4"/>
  <c r="BJ201" i="4"/>
  <c r="BJ202" i="4"/>
  <c r="BJ203" i="4"/>
  <c r="BJ204" i="4"/>
  <c r="BJ205" i="4"/>
  <c r="BJ206" i="4"/>
  <c r="BJ207" i="4"/>
  <c r="BJ208" i="4"/>
  <c r="BJ209" i="4"/>
  <c r="BJ210" i="4"/>
  <c r="BJ211" i="4"/>
  <c r="BJ212" i="4"/>
  <c r="BJ213" i="4"/>
  <c r="BJ214" i="4"/>
  <c r="BJ215" i="4"/>
  <c r="BJ216" i="4"/>
  <c r="BJ217" i="4"/>
  <c r="BJ218" i="4"/>
  <c r="BJ219" i="4"/>
  <c r="BJ220" i="4"/>
  <c r="BJ221" i="4"/>
  <c r="BJ222" i="4"/>
  <c r="BJ223" i="4"/>
  <c r="BJ224" i="4"/>
  <c r="BJ225" i="4"/>
  <c r="BJ226" i="4"/>
  <c r="BJ227" i="4"/>
  <c r="BJ228" i="4"/>
  <c r="BJ229" i="4"/>
  <c r="BJ230" i="4"/>
  <c r="BJ231" i="4"/>
  <c r="BJ232" i="4"/>
  <c r="BJ233" i="4"/>
  <c r="BJ234" i="4"/>
  <c r="BJ235" i="4"/>
  <c r="BJ236" i="4"/>
  <c r="BJ237" i="4"/>
  <c r="BJ238" i="4"/>
  <c r="BJ239" i="4"/>
  <c r="BJ240" i="4"/>
  <c r="BJ241" i="4"/>
  <c r="BJ242" i="4"/>
  <c r="BJ243" i="4"/>
  <c r="BJ244" i="4"/>
  <c r="BJ245" i="4"/>
  <c r="BJ246" i="4"/>
  <c r="BJ247" i="4"/>
  <c r="BJ248" i="4"/>
  <c r="BJ249" i="4"/>
  <c r="BJ250" i="4"/>
  <c r="BJ251" i="4"/>
  <c r="BJ252" i="4"/>
  <c r="BJ253" i="4"/>
  <c r="BJ254" i="4"/>
  <c r="BJ255" i="4"/>
  <c r="BJ256" i="4"/>
  <c r="BJ257" i="4"/>
  <c r="BJ258" i="4"/>
  <c r="BJ259" i="4"/>
  <c r="BJ260" i="4"/>
  <c r="BJ261" i="4"/>
  <c r="BJ262" i="4"/>
  <c r="BJ263" i="4"/>
  <c r="BJ264" i="4"/>
  <c r="BJ265" i="4"/>
  <c r="BJ266" i="4"/>
  <c r="BJ267" i="4"/>
  <c r="BJ268" i="4"/>
  <c r="BJ269" i="4"/>
  <c r="BJ270" i="4"/>
  <c r="BJ271" i="4"/>
  <c r="BJ272" i="4"/>
  <c r="BJ273" i="4"/>
  <c r="BJ274" i="4"/>
  <c r="BJ275" i="4"/>
  <c r="BJ276" i="4"/>
  <c r="BJ277" i="4"/>
  <c r="BJ278" i="4"/>
  <c r="BJ279" i="4"/>
  <c r="BJ280" i="4"/>
  <c r="BJ281" i="4"/>
  <c r="BJ282" i="4"/>
  <c r="BJ283" i="4"/>
  <c r="BJ284" i="4"/>
  <c r="BJ285" i="4"/>
  <c r="BJ286" i="4"/>
  <c r="BJ287" i="4"/>
  <c r="BJ288" i="4"/>
  <c r="BJ289" i="4"/>
  <c r="BJ290" i="4"/>
  <c r="BJ291" i="4"/>
  <c r="BJ292" i="4"/>
  <c r="BJ293" i="4"/>
  <c r="BJ294" i="4"/>
  <c r="BJ295" i="4"/>
  <c r="BJ296" i="4"/>
  <c r="BJ297" i="4"/>
  <c r="BJ298" i="4"/>
  <c r="BJ299" i="4"/>
  <c r="BJ300" i="4"/>
  <c r="BJ301" i="4"/>
  <c r="BJ302" i="4"/>
  <c r="BJ303" i="4"/>
  <c r="BJ304" i="4"/>
  <c r="BJ305" i="4"/>
  <c r="BJ306" i="4"/>
  <c r="BJ307" i="4"/>
  <c r="BJ308" i="4"/>
  <c r="BJ309" i="4"/>
  <c r="BJ310" i="4"/>
  <c r="BJ311" i="4"/>
  <c r="BJ312" i="4"/>
  <c r="BJ313" i="4"/>
  <c r="BJ314" i="4"/>
  <c r="BJ315" i="4"/>
  <c r="BJ316" i="4"/>
  <c r="BJ317" i="4"/>
  <c r="BJ318" i="4"/>
  <c r="BJ319" i="4"/>
  <c r="BJ320" i="4"/>
  <c r="BJ321" i="4"/>
  <c r="BJ322" i="4"/>
  <c r="BJ323" i="4"/>
  <c r="BJ324" i="4"/>
  <c r="BJ325" i="4"/>
  <c r="BJ326" i="4"/>
  <c r="BJ327" i="4"/>
  <c r="BJ328" i="4"/>
  <c r="BJ329" i="4"/>
  <c r="BJ330" i="4"/>
  <c r="BJ331" i="4"/>
  <c r="BJ332" i="4"/>
  <c r="BJ333" i="4"/>
  <c r="BJ334" i="4"/>
  <c r="BJ335" i="4"/>
  <c r="BJ336" i="4"/>
  <c r="BJ337" i="4"/>
  <c r="BJ338" i="4"/>
  <c r="BJ339" i="4"/>
  <c r="BJ340" i="4"/>
  <c r="BJ341" i="4"/>
  <c r="BJ342" i="4"/>
  <c r="BJ343" i="4"/>
  <c r="BJ344" i="4"/>
  <c r="BJ345" i="4"/>
  <c r="BJ346" i="4"/>
  <c r="BJ347" i="4"/>
  <c r="BJ348" i="4"/>
  <c r="BJ349" i="4"/>
  <c r="BJ350" i="4"/>
  <c r="BJ351" i="4"/>
  <c r="BJ352" i="4"/>
  <c r="BJ353" i="4"/>
  <c r="BJ354" i="4"/>
  <c r="BJ355" i="4"/>
  <c r="BJ356" i="4"/>
  <c r="BJ357" i="4"/>
  <c r="BJ358" i="4"/>
  <c r="BJ359" i="4"/>
  <c r="BJ360" i="4"/>
  <c r="BJ361" i="4"/>
  <c r="BJ362" i="4"/>
  <c r="BJ363" i="4"/>
  <c r="BJ364" i="4"/>
  <c r="BJ365" i="4"/>
  <c r="BJ366" i="4"/>
  <c r="BJ367" i="4"/>
  <c r="BJ368" i="4"/>
  <c r="BJ369" i="4"/>
  <c r="BJ370" i="4"/>
  <c r="BJ371" i="4"/>
  <c r="BJ372" i="4"/>
  <c r="BJ373" i="4"/>
  <c r="BJ374" i="4"/>
  <c r="BJ375" i="4"/>
  <c r="BJ376" i="4"/>
  <c r="BJ377" i="4"/>
  <c r="BJ378" i="4"/>
  <c r="BJ379" i="4"/>
  <c r="BJ380" i="4"/>
  <c r="BJ381" i="4"/>
  <c r="BJ382" i="4"/>
  <c r="BJ383" i="4"/>
  <c r="BJ384" i="4"/>
  <c r="BJ385" i="4"/>
  <c r="BJ386" i="4"/>
  <c r="BJ387" i="4"/>
  <c r="BJ388" i="4"/>
  <c r="BJ389" i="4"/>
  <c r="BJ390" i="4"/>
  <c r="BJ391" i="4"/>
  <c r="BJ392" i="4"/>
  <c r="BJ393" i="4"/>
  <c r="BJ394" i="4"/>
  <c r="BJ395" i="4"/>
  <c r="BJ396" i="4"/>
  <c r="BJ397" i="4"/>
  <c r="BJ398" i="4"/>
  <c r="BJ399" i="4"/>
  <c r="BJ400" i="4"/>
  <c r="BJ401" i="4"/>
  <c r="BJ402" i="4"/>
  <c r="BJ403" i="4"/>
  <c r="BJ404" i="4"/>
  <c r="BJ405" i="4"/>
  <c r="BJ406" i="4"/>
  <c r="BJ407" i="4"/>
  <c r="BJ408" i="4"/>
  <c r="BJ409" i="4"/>
  <c r="BJ410" i="4"/>
  <c r="BJ411" i="4"/>
  <c r="BJ412" i="4"/>
  <c r="BJ413" i="4"/>
  <c r="BJ414" i="4"/>
  <c r="BJ415" i="4"/>
  <c r="BJ416" i="4"/>
  <c r="BJ417" i="4"/>
  <c r="BJ418" i="4"/>
  <c r="BJ419" i="4"/>
  <c r="BJ420" i="4"/>
  <c r="BJ421" i="4"/>
  <c r="BJ422" i="4"/>
  <c r="BJ423" i="4"/>
  <c r="BJ424" i="4"/>
  <c r="BJ425" i="4"/>
  <c r="BJ426" i="4"/>
  <c r="BJ427" i="4"/>
  <c r="BJ428" i="4"/>
  <c r="BJ429" i="4"/>
  <c r="BJ430" i="4"/>
  <c r="BJ431" i="4"/>
  <c r="BJ432" i="4"/>
  <c r="BJ433" i="4"/>
  <c r="BJ434" i="4"/>
  <c r="BJ435" i="4"/>
  <c r="BJ436" i="4"/>
  <c r="BJ437" i="4"/>
  <c r="BJ438" i="4"/>
  <c r="BJ439" i="4"/>
  <c r="BJ440" i="4"/>
  <c r="BJ441" i="4"/>
  <c r="BJ442" i="4"/>
  <c r="BJ443" i="4"/>
  <c r="BJ444" i="4"/>
  <c r="BJ445" i="4"/>
  <c r="BJ446" i="4"/>
  <c r="BJ447" i="4"/>
  <c r="BJ448" i="4"/>
  <c r="BJ449" i="4"/>
  <c r="BJ450" i="4"/>
  <c r="BJ451" i="4"/>
  <c r="BJ452" i="4"/>
  <c r="BJ453" i="4"/>
  <c r="BJ454" i="4"/>
  <c r="BJ455" i="4"/>
  <c r="BJ456" i="4"/>
  <c r="BJ457" i="4"/>
  <c r="BJ458" i="4"/>
  <c r="BJ459" i="4"/>
  <c r="BJ460" i="4"/>
  <c r="BJ461" i="4"/>
  <c r="BJ462" i="4"/>
  <c r="BJ463" i="4"/>
  <c r="BJ464" i="4"/>
  <c r="BJ465" i="4"/>
  <c r="BJ466" i="4"/>
  <c r="BJ467" i="4"/>
  <c r="BJ468" i="4"/>
  <c r="BJ469" i="4"/>
  <c r="BJ470" i="4"/>
  <c r="BJ471" i="4"/>
  <c r="BJ472" i="4"/>
  <c r="BJ473" i="4"/>
  <c r="BJ474" i="4"/>
  <c r="BJ475" i="4"/>
  <c r="BJ476" i="4"/>
  <c r="BJ477" i="4"/>
  <c r="BJ478" i="4"/>
  <c r="BJ479" i="4"/>
  <c r="BJ480" i="4"/>
  <c r="BJ481" i="4"/>
  <c r="BJ482" i="4"/>
  <c r="BJ483" i="4"/>
  <c r="BJ484" i="4"/>
  <c r="BJ485" i="4"/>
  <c r="BJ486" i="4"/>
  <c r="BJ487" i="4"/>
  <c r="BJ488" i="4"/>
  <c r="BJ489" i="4"/>
  <c r="BJ490" i="4"/>
  <c r="BJ491" i="4"/>
  <c r="BJ492" i="4"/>
  <c r="BJ493" i="4"/>
  <c r="BJ494" i="4"/>
  <c r="BJ495" i="4"/>
  <c r="BJ496" i="4"/>
  <c r="BJ497" i="4"/>
  <c r="BJ498" i="4"/>
  <c r="BJ499" i="4"/>
  <c r="BJ500" i="4"/>
  <c r="BJ501" i="4"/>
  <c r="BJ502" i="4"/>
  <c r="BJ503" i="4"/>
  <c r="BJ504" i="4"/>
  <c r="BJ505" i="4"/>
  <c r="BJ506" i="4"/>
  <c r="BJ507" i="4"/>
  <c r="BJ508" i="4"/>
  <c r="BJ509" i="4"/>
  <c r="BJ510" i="4"/>
  <c r="BJ511" i="4"/>
  <c r="BJ512" i="4"/>
  <c r="BJ513" i="4"/>
  <c r="BJ514" i="4"/>
  <c r="BJ515" i="4"/>
  <c r="BJ516" i="4"/>
  <c r="BJ517" i="4"/>
  <c r="BJ518" i="4"/>
  <c r="BJ519" i="4"/>
  <c r="BJ520" i="4"/>
  <c r="BJ521" i="4"/>
  <c r="BJ522" i="4"/>
  <c r="BJ523" i="4"/>
  <c r="BJ524" i="4"/>
  <c r="BJ525" i="4"/>
  <c r="BJ526" i="4"/>
  <c r="BJ527" i="4"/>
  <c r="BJ528" i="4"/>
  <c r="BJ529" i="4"/>
  <c r="BJ530" i="4"/>
  <c r="BJ531" i="4"/>
  <c r="BJ532" i="4"/>
  <c r="BJ533" i="4"/>
  <c r="BJ534" i="4"/>
  <c r="BJ535" i="4"/>
  <c r="BJ536" i="4"/>
  <c r="BJ537" i="4"/>
  <c r="BJ538" i="4"/>
  <c r="BJ539" i="4"/>
  <c r="BJ540" i="4"/>
  <c r="BJ541" i="4"/>
  <c r="BJ542" i="4"/>
  <c r="BJ543" i="4"/>
  <c r="BJ544" i="4"/>
  <c r="BJ545" i="4"/>
  <c r="BJ546" i="4"/>
  <c r="BJ547" i="4"/>
  <c r="BJ548" i="4"/>
  <c r="BJ549" i="4"/>
  <c r="BJ550" i="4"/>
  <c r="BJ551" i="4"/>
  <c r="BJ552" i="4"/>
  <c r="BJ553" i="4"/>
  <c r="BJ554" i="4"/>
  <c r="BJ555" i="4"/>
  <c r="BJ556" i="4"/>
  <c r="BJ557" i="4"/>
  <c r="BJ558" i="4"/>
  <c r="BJ559" i="4"/>
  <c r="BJ560" i="4"/>
  <c r="BJ561" i="4"/>
  <c r="BJ562" i="4"/>
  <c r="BJ563" i="4"/>
  <c r="BJ564" i="4"/>
  <c r="BJ565" i="4"/>
  <c r="BJ566" i="4"/>
  <c r="BJ567" i="4"/>
  <c r="BJ568" i="4"/>
  <c r="BJ569" i="4"/>
  <c r="BJ570" i="4"/>
  <c r="BJ571" i="4"/>
  <c r="BJ572" i="4"/>
  <c r="BJ573" i="4"/>
  <c r="BJ574" i="4"/>
  <c r="BJ575" i="4"/>
  <c r="BJ576" i="4"/>
  <c r="BJ577" i="4"/>
  <c r="BJ578" i="4"/>
  <c r="BJ579" i="4"/>
  <c r="BJ580" i="4"/>
  <c r="BJ581" i="4"/>
  <c r="BJ582" i="4"/>
  <c r="BJ583" i="4"/>
  <c r="BJ584" i="4"/>
  <c r="BJ585" i="4"/>
  <c r="BJ586" i="4"/>
  <c r="BJ587" i="4"/>
  <c r="BJ588" i="4"/>
  <c r="BJ589" i="4"/>
  <c r="BJ590" i="4"/>
  <c r="BJ591" i="4"/>
  <c r="BJ592" i="4"/>
  <c r="BJ593" i="4"/>
  <c r="BJ594" i="4"/>
  <c r="BJ595" i="4"/>
  <c r="BJ596" i="4"/>
  <c r="BJ597" i="4"/>
  <c r="BJ598" i="4"/>
  <c r="BJ599" i="4"/>
  <c r="BJ600" i="4"/>
  <c r="BJ601" i="4"/>
  <c r="BJ602" i="4"/>
  <c r="BJ603" i="4"/>
  <c r="BJ604" i="4"/>
  <c r="BJ605" i="4"/>
  <c r="BJ606" i="4"/>
  <c r="BJ607" i="4"/>
  <c r="BJ608" i="4"/>
  <c r="BJ609" i="4"/>
  <c r="BJ610" i="4"/>
  <c r="BJ611" i="4"/>
  <c r="BJ612" i="4"/>
  <c r="BJ613" i="4"/>
  <c r="BJ614" i="4"/>
  <c r="BJ615" i="4"/>
  <c r="BJ616" i="4"/>
  <c r="BJ617" i="4"/>
  <c r="BJ618" i="4"/>
  <c r="BJ619" i="4"/>
  <c r="BJ620" i="4"/>
  <c r="BJ621" i="4"/>
  <c r="BJ622" i="4"/>
  <c r="BJ623" i="4"/>
  <c r="BJ624" i="4"/>
  <c r="BJ625" i="4"/>
  <c r="BJ626" i="4"/>
  <c r="BJ627" i="4"/>
  <c r="BJ628" i="4"/>
  <c r="BJ629" i="4"/>
  <c r="BJ630" i="4"/>
  <c r="BJ631" i="4"/>
  <c r="BJ632" i="4"/>
  <c r="BJ633" i="4"/>
  <c r="BJ634" i="4"/>
  <c r="BJ635" i="4"/>
  <c r="BJ636" i="4"/>
  <c r="BJ637" i="4"/>
  <c r="BJ638" i="4"/>
  <c r="BJ639" i="4"/>
  <c r="BJ640" i="4"/>
  <c r="BJ641" i="4"/>
  <c r="BJ642" i="4"/>
  <c r="BJ643" i="4"/>
  <c r="BJ644" i="4"/>
  <c r="BJ645" i="4"/>
  <c r="BJ646" i="4"/>
  <c r="BJ647" i="4"/>
  <c r="BJ648" i="4"/>
  <c r="BJ649" i="4"/>
  <c r="BJ650" i="4"/>
  <c r="BJ651" i="4"/>
  <c r="BJ652" i="4"/>
  <c r="BJ653" i="4"/>
  <c r="BJ654" i="4"/>
  <c r="BJ655" i="4"/>
  <c r="BJ656" i="4"/>
  <c r="BJ657" i="4"/>
  <c r="BJ658" i="4"/>
  <c r="BJ659" i="4"/>
  <c r="BJ660" i="4"/>
  <c r="BJ661" i="4"/>
  <c r="BJ662" i="4"/>
  <c r="BJ663" i="4"/>
  <c r="BJ664" i="4"/>
  <c r="BJ665" i="4"/>
  <c r="BJ666" i="4"/>
  <c r="BJ667" i="4"/>
  <c r="BJ668" i="4"/>
  <c r="BJ669" i="4"/>
  <c r="BJ670" i="4"/>
  <c r="BJ671" i="4"/>
  <c r="BJ672" i="4"/>
  <c r="BJ673" i="4"/>
  <c r="BJ674" i="4"/>
  <c r="BJ675" i="4"/>
  <c r="BJ676" i="4"/>
  <c r="BJ677" i="4"/>
  <c r="BJ678" i="4"/>
  <c r="BJ679" i="4"/>
  <c r="BJ680" i="4"/>
  <c r="BJ681" i="4"/>
  <c r="BJ682" i="4"/>
  <c r="BJ683" i="4"/>
  <c r="BJ684" i="4"/>
  <c r="BJ685" i="4"/>
  <c r="BJ686" i="4"/>
  <c r="BJ687" i="4"/>
  <c r="BJ688" i="4"/>
  <c r="BJ689" i="4"/>
  <c r="BJ690" i="4"/>
  <c r="BJ691" i="4"/>
  <c r="BJ692" i="4"/>
  <c r="BJ693" i="4"/>
  <c r="BJ694" i="4"/>
  <c r="BJ695" i="4"/>
  <c r="BJ696" i="4"/>
  <c r="BJ697" i="4"/>
  <c r="BJ698" i="4"/>
  <c r="BJ699" i="4"/>
  <c r="BJ700" i="4"/>
  <c r="BJ701" i="4"/>
  <c r="BJ702" i="4"/>
  <c r="BJ703" i="4"/>
  <c r="BJ704" i="4"/>
  <c r="BJ705" i="4"/>
  <c r="BJ706" i="4"/>
  <c r="BJ707" i="4"/>
  <c r="BJ708" i="4"/>
  <c r="BJ709" i="4"/>
  <c r="BJ710" i="4"/>
  <c r="BJ711" i="4"/>
  <c r="BJ712" i="4"/>
  <c r="BJ713" i="4"/>
  <c r="BJ714" i="4"/>
  <c r="BJ715" i="4"/>
  <c r="BJ716" i="4"/>
  <c r="BJ717" i="4"/>
  <c r="BJ718" i="4"/>
  <c r="BJ719" i="4"/>
  <c r="BJ720" i="4"/>
  <c r="BJ721" i="4"/>
  <c r="BJ722" i="4"/>
  <c r="BJ723" i="4"/>
  <c r="BJ724" i="4"/>
  <c r="BJ725" i="4"/>
  <c r="BJ726" i="4"/>
  <c r="BJ727" i="4"/>
  <c r="BJ728" i="4"/>
  <c r="BJ729" i="4"/>
  <c r="BJ730" i="4"/>
  <c r="BJ731" i="4"/>
  <c r="BJ732" i="4"/>
  <c r="J14" i="2"/>
  <c r="J13" i="2"/>
  <c r="BH699" i="4" l="1"/>
  <c r="BQ699" i="4" s="1"/>
  <c r="BW699" i="4" s="1"/>
  <c r="BY699" i="4" s="1"/>
  <c r="BH700" i="4"/>
  <c r="BQ700" i="4" s="1"/>
  <c r="BW700" i="4" s="1"/>
  <c r="BY700" i="4" s="1"/>
  <c r="BH701" i="4"/>
  <c r="BQ701" i="4" s="1"/>
  <c r="BW701" i="4" s="1"/>
  <c r="BY701" i="4" s="1"/>
  <c r="BH702" i="4"/>
  <c r="BQ702" i="4" s="1"/>
  <c r="BW702" i="4" s="1"/>
  <c r="BY702" i="4" s="1"/>
  <c r="BH704" i="4"/>
  <c r="BQ704" i="4" s="1"/>
  <c r="BW704" i="4" s="1"/>
  <c r="BY704" i="4" s="1"/>
  <c r="BH705" i="4"/>
  <c r="BQ705" i="4" s="1"/>
  <c r="BW705" i="4" s="1"/>
  <c r="BY705" i="4" s="1"/>
  <c r="BH706" i="4"/>
  <c r="BQ706" i="4" s="1"/>
  <c r="BW706" i="4" s="1"/>
  <c r="BY706" i="4" s="1"/>
  <c r="BH707" i="4"/>
  <c r="BQ707" i="4" s="1"/>
  <c r="BW707" i="4" s="1"/>
  <c r="BY707" i="4" s="1"/>
  <c r="BH708" i="4"/>
  <c r="BQ708" i="4" s="1"/>
  <c r="BW708" i="4" s="1"/>
  <c r="BY708" i="4" s="1"/>
  <c r="BH709" i="4"/>
  <c r="BQ709" i="4" s="1"/>
  <c r="BW709" i="4" s="1"/>
  <c r="BY709" i="4" s="1"/>
  <c r="BH710" i="4"/>
  <c r="BQ710" i="4" s="1"/>
  <c r="BW710" i="4" s="1"/>
  <c r="BY710" i="4" s="1"/>
  <c r="BH711" i="4"/>
  <c r="BQ711" i="4" s="1"/>
  <c r="BW711" i="4" s="1"/>
  <c r="BY711" i="4" s="1"/>
  <c r="BH712" i="4"/>
  <c r="BQ712" i="4" s="1"/>
  <c r="BW712" i="4" s="1"/>
  <c r="BY712" i="4" s="1"/>
  <c r="BH713" i="4"/>
  <c r="BQ713" i="4" s="1"/>
  <c r="BW713" i="4" s="1"/>
  <c r="BY713" i="4" s="1"/>
  <c r="BH714" i="4"/>
  <c r="BQ714" i="4" s="1"/>
  <c r="BW714" i="4" s="1"/>
  <c r="BY714" i="4" s="1"/>
  <c r="BH715" i="4"/>
  <c r="BQ715" i="4" s="1"/>
  <c r="BW715" i="4" s="1"/>
  <c r="BY715" i="4" s="1"/>
  <c r="BH716" i="4"/>
  <c r="BQ716" i="4" s="1"/>
  <c r="BW716" i="4" s="1"/>
  <c r="BY716" i="4" s="1"/>
  <c r="BH717" i="4"/>
  <c r="BQ717" i="4" s="1"/>
  <c r="BW717" i="4" s="1"/>
  <c r="BY717" i="4" s="1"/>
  <c r="BH718" i="4"/>
  <c r="BQ718" i="4" s="1"/>
  <c r="BW718" i="4" s="1"/>
  <c r="BY718" i="4" s="1"/>
  <c r="BH719" i="4"/>
  <c r="BQ719" i="4" s="1"/>
  <c r="BW719" i="4" s="1"/>
  <c r="BY719" i="4" s="1"/>
  <c r="BH720" i="4"/>
  <c r="BQ720" i="4" s="1"/>
  <c r="BW720" i="4" s="1"/>
  <c r="BY720" i="4" s="1"/>
  <c r="BH721" i="4"/>
  <c r="BQ721" i="4" s="1"/>
  <c r="BW721" i="4" s="1"/>
  <c r="BY721" i="4" s="1"/>
  <c r="BH722" i="4"/>
  <c r="BQ722" i="4" s="1"/>
  <c r="BW722" i="4" s="1"/>
  <c r="BY722" i="4" s="1"/>
  <c r="BH723" i="4"/>
  <c r="BQ723" i="4" s="1"/>
  <c r="BW723" i="4" s="1"/>
  <c r="BY723" i="4" s="1"/>
  <c r="BH724" i="4"/>
  <c r="BQ724" i="4" s="1"/>
  <c r="BW724" i="4" s="1"/>
  <c r="BY724" i="4" s="1"/>
  <c r="BH725" i="4"/>
  <c r="BQ725" i="4" s="1"/>
  <c r="BW725" i="4" s="1"/>
  <c r="BY725" i="4" s="1"/>
  <c r="BH726" i="4"/>
  <c r="BQ726" i="4" s="1"/>
  <c r="BW726" i="4" s="1"/>
  <c r="BY726" i="4" s="1"/>
  <c r="BH727" i="4"/>
  <c r="BQ727" i="4" s="1"/>
  <c r="BW727" i="4" s="1"/>
  <c r="BY727" i="4" s="1"/>
  <c r="BH728" i="4"/>
  <c r="BQ728" i="4" s="1"/>
  <c r="BW728" i="4" s="1"/>
  <c r="BY728" i="4" s="1"/>
  <c r="BH729" i="4"/>
  <c r="BQ729" i="4" s="1"/>
  <c r="BW729" i="4" s="1"/>
  <c r="BY729" i="4" s="1"/>
  <c r="BH730" i="4"/>
  <c r="BQ730" i="4" s="1"/>
  <c r="BW730" i="4" s="1"/>
  <c r="BY730" i="4" s="1"/>
  <c r="BH731" i="4"/>
  <c r="BQ731" i="4" s="1"/>
  <c r="BW731" i="4" s="1"/>
  <c r="BY731" i="4" s="1"/>
  <c r="BH732" i="4"/>
  <c r="BQ732" i="4" s="1"/>
  <c r="BW732" i="4" s="1"/>
  <c r="BY732" i="4" s="1"/>
  <c r="BI722" i="4"/>
  <c r="BI723" i="4"/>
  <c r="BI724" i="4"/>
  <c r="BI725" i="4"/>
  <c r="BI726" i="4"/>
  <c r="BI727" i="4"/>
  <c r="BI728" i="4"/>
  <c r="BI729" i="4"/>
  <c r="BI730" i="4"/>
  <c r="BI731" i="4"/>
  <c r="BI732" i="4"/>
  <c r="BK722" i="4"/>
  <c r="BK723" i="4"/>
  <c r="BK724" i="4"/>
  <c r="BK725" i="4"/>
  <c r="BK726" i="4"/>
  <c r="BK727" i="4"/>
  <c r="BK728" i="4"/>
  <c r="BK729" i="4"/>
  <c r="BK730" i="4"/>
  <c r="BK731" i="4"/>
  <c r="BK732" i="4"/>
  <c r="BL722" i="4"/>
  <c r="BL723" i="4"/>
  <c r="BL724" i="4"/>
  <c r="BL725" i="4"/>
  <c r="BL726" i="4"/>
  <c r="BL727" i="4"/>
  <c r="BL728" i="4"/>
  <c r="BL729" i="4"/>
  <c r="BL730" i="4"/>
  <c r="BL731" i="4"/>
  <c r="BL732" i="4"/>
  <c r="BM722" i="4"/>
  <c r="BM723" i="4"/>
  <c r="BM724" i="4"/>
  <c r="BM725" i="4"/>
  <c r="BM726" i="4"/>
  <c r="BM727" i="4"/>
  <c r="BM728" i="4"/>
  <c r="BM729" i="4"/>
  <c r="BM730" i="4"/>
  <c r="BM731" i="4"/>
  <c r="BM732" i="4"/>
  <c r="BN722" i="4"/>
  <c r="BN723" i="4"/>
  <c r="BN724" i="4"/>
  <c r="BN725" i="4"/>
  <c r="BN726" i="4"/>
  <c r="BN727" i="4"/>
  <c r="BN728" i="4"/>
  <c r="BN729" i="4"/>
  <c r="BN730" i="4"/>
  <c r="BN731" i="4"/>
  <c r="BN732" i="4"/>
  <c r="BO722" i="4"/>
  <c r="BO723" i="4"/>
  <c r="BO724" i="4"/>
  <c r="BO725" i="4"/>
  <c r="BO726" i="4"/>
  <c r="BO727" i="4"/>
  <c r="BO728" i="4"/>
  <c r="BO729" i="4"/>
  <c r="BO730" i="4"/>
  <c r="BO731" i="4"/>
  <c r="BO732" i="4"/>
  <c r="BR722" i="4"/>
  <c r="BR723" i="4"/>
  <c r="BR724" i="4"/>
  <c r="BR725" i="4"/>
  <c r="BR726" i="4"/>
  <c r="BR727" i="4"/>
  <c r="BR728" i="4"/>
  <c r="BR729" i="4"/>
  <c r="BR730" i="4"/>
  <c r="BR731" i="4"/>
  <c r="BR732" i="4"/>
  <c r="BS722" i="4"/>
  <c r="BS723" i="4"/>
  <c r="BS724" i="4"/>
  <c r="BS725" i="4"/>
  <c r="BS726" i="4"/>
  <c r="BS727" i="4"/>
  <c r="BS728" i="4"/>
  <c r="BS729" i="4"/>
  <c r="BS730" i="4"/>
  <c r="BS731" i="4"/>
  <c r="BS732" i="4"/>
  <c r="BT722" i="4"/>
  <c r="BT723" i="4"/>
  <c r="BT724" i="4"/>
  <c r="BT725" i="4"/>
  <c r="BV725" i="4" s="1"/>
  <c r="BT726" i="4"/>
  <c r="BT727" i="4"/>
  <c r="BT728" i="4"/>
  <c r="BT729" i="4"/>
  <c r="BT730" i="4"/>
  <c r="BT731" i="4"/>
  <c r="BT732" i="4"/>
  <c r="BU722" i="4"/>
  <c r="BU723" i="4"/>
  <c r="BU724" i="4"/>
  <c r="BU725" i="4"/>
  <c r="BU726" i="4"/>
  <c r="BU727" i="4"/>
  <c r="BU728" i="4"/>
  <c r="BU729" i="4"/>
  <c r="BU730" i="4"/>
  <c r="BU731" i="4"/>
  <c r="BU732" i="4"/>
  <c r="BZ722" i="4"/>
  <c r="BZ723" i="4"/>
  <c r="BZ724" i="4"/>
  <c r="BZ725" i="4"/>
  <c r="BZ726" i="4"/>
  <c r="BZ727" i="4"/>
  <c r="BZ728" i="4"/>
  <c r="BZ729" i="4"/>
  <c r="BZ730" i="4"/>
  <c r="BZ731" i="4"/>
  <c r="BZ732" i="4"/>
  <c r="BH703" i="4"/>
  <c r="BQ703" i="4" s="1"/>
  <c r="BW703" i="4" s="1"/>
  <c r="BY703" i="4" s="1"/>
  <c r="BI719" i="4"/>
  <c r="BI720" i="4"/>
  <c r="BI721" i="4"/>
  <c r="BK719" i="4"/>
  <c r="BK720" i="4"/>
  <c r="BK721" i="4"/>
  <c r="BL719" i="4"/>
  <c r="BL720" i="4"/>
  <c r="BL721" i="4"/>
  <c r="BM719" i="4"/>
  <c r="BM720" i="4"/>
  <c r="BM721" i="4"/>
  <c r="BN719" i="4"/>
  <c r="BN720" i="4"/>
  <c r="BN721" i="4"/>
  <c r="BO719" i="4"/>
  <c r="BO720" i="4"/>
  <c r="BO721" i="4"/>
  <c r="BR719" i="4"/>
  <c r="BR720" i="4"/>
  <c r="BR721" i="4"/>
  <c r="BS719" i="4"/>
  <c r="BS720" i="4"/>
  <c r="BS721" i="4"/>
  <c r="BT719" i="4"/>
  <c r="BT720" i="4"/>
  <c r="BT721" i="4"/>
  <c r="BU719" i="4"/>
  <c r="BU720" i="4"/>
  <c r="BU721" i="4"/>
  <c r="BZ719" i="4"/>
  <c r="BZ720" i="4"/>
  <c r="BZ721" i="4"/>
  <c r="BI699" i="4"/>
  <c r="BI700" i="4"/>
  <c r="BI701" i="4"/>
  <c r="BI702" i="4"/>
  <c r="BI703" i="4"/>
  <c r="BI704" i="4"/>
  <c r="BI705" i="4"/>
  <c r="BI706" i="4"/>
  <c r="BI707" i="4"/>
  <c r="BI708" i="4"/>
  <c r="BI709" i="4"/>
  <c r="BI710" i="4"/>
  <c r="BI711" i="4"/>
  <c r="BI712" i="4"/>
  <c r="BI713" i="4"/>
  <c r="BI714" i="4"/>
  <c r="BI715" i="4"/>
  <c r="BI716" i="4"/>
  <c r="BI717" i="4"/>
  <c r="BI718" i="4"/>
  <c r="BK699" i="4"/>
  <c r="BK700" i="4"/>
  <c r="BK701" i="4"/>
  <c r="BK702" i="4"/>
  <c r="BK703" i="4"/>
  <c r="BK704" i="4"/>
  <c r="BK705" i="4"/>
  <c r="BK706" i="4"/>
  <c r="BK707" i="4"/>
  <c r="BK708" i="4"/>
  <c r="BK709" i="4"/>
  <c r="BK710" i="4"/>
  <c r="BK711" i="4"/>
  <c r="BK712" i="4"/>
  <c r="BK713" i="4"/>
  <c r="BK714" i="4"/>
  <c r="BK715" i="4"/>
  <c r="BK716" i="4"/>
  <c r="BK717" i="4"/>
  <c r="BK718" i="4"/>
  <c r="BL699" i="4"/>
  <c r="BL700" i="4"/>
  <c r="BL701" i="4"/>
  <c r="BL702" i="4"/>
  <c r="BL703" i="4"/>
  <c r="BL704" i="4"/>
  <c r="BL705" i="4"/>
  <c r="BL706" i="4"/>
  <c r="BL707" i="4"/>
  <c r="BL708" i="4"/>
  <c r="BL709" i="4"/>
  <c r="BL710" i="4"/>
  <c r="BL711" i="4"/>
  <c r="BL712" i="4"/>
  <c r="BL713" i="4"/>
  <c r="BL714" i="4"/>
  <c r="BL715" i="4"/>
  <c r="BL716" i="4"/>
  <c r="BL717" i="4"/>
  <c r="BL718" i="4"/>
  <c r="BM699" i="4"/>
  <c r="BM700" i="4"/>
  <c r="BM701" i="4"/>
  <c r="BM702" i="4"/>
  <c r="BM703" i="4"/>
  <c r="BM704" i="4"/>
  <c r="BM705" i="4"/>
  <c r="BM706" i="4"/>
  <c r="BM707" i="4"/>
  <c r="BM708" i="4"/>
  <c r="BM709" i="4"/>
  <c r="BM710" i="4"/>
  <c r="BM711" i="4"/>
  <c r="BM712" i="4"/>
  <c r="BM713" i="4"/>
  <c r="BM714" i="4"/>
  <c r="BM715" i="4"/>
  <c r="BM716" i="4"/>
  <c r="BM717" i="4"/>
  <c r="BM718" i="4"/>
  <c r="BN699" i="4"/>
  <c r="BN700" i="4"/>
  <c r="BN701" i="4"/>
  <c r="BN702" i="4"/>
  <c r="BN703" i="4"/>
  <c r="BN704" i="4"/>
  <c r="BN705" i="4"/>
  <c r="BN706" i="4"/>
  <c r="BN707" i="4"/>
  <c r="BN708" i="4"/>
  <c r="BN709" i="4"/>
  <c r="BN710" i="4"/>
  <c r="BN711" i="4"/>
  <c r="BN712" i="4"/>
  <c r="BN713" i="4"/>
  <c r="BN714" i="4"/>
  <c r="BN715" i="4"/>
  <c r="BN716" i="4"/>
  <c r="BN717" i="4"/>
  <c r="BN718" i="4"/>
  <c r="BO699" i="4"/>
  <c r="BO700" i="4"/>
  <c r="BO701" i="4"/>
  <c r="BO702" i="4"/>
  <c r="BO703" i="4"/>
  <c r="BO704" i="4"/>
  <c r="BO705" i="4"/>
  <c r="BO706" i="4"/>
  <c r="BO707" i="4"/>
  <c r="BO708" i="4"/>
  <c r="BO709" i="4"/>
  <c r="BO710" i="4"/>
  <c r="BO711" i="4"/>
  <c r="BO712" i="4"/>
  <c r="BO713" i="4"/>
  <c r="BO714" i="4"/>
  <c r="BO715" i="4"/>
  <c r="BO716" i="4"/>
  <c r="BO717" i="4"/>
  <c r="BO718" i="4"/>
  <c r="BR699" i="4"/>
  <c r="BR700" i="4"/>
  <c r="BR701" i="4"/>
  <c r="BR702" i="4"/>
  <c r="BR703" i="4"/>
  <c r="BR704" i="4"/>
  <c r="BR705" i="4"/>
  <c r="BR706" i="4"/>
  <c r="BR707" i="4"/>
  <c r="BR708" i="4"/>
  <c r="BR709" i="4"/>
  <c r="BR710" i="4"/>
  <c r="BR711" i="4"/>
  <c r="BR712" i="4"/>
  <c r="BR713" i="4"/>
  <c r="BR714" i="4"/>
  <c r="BR715" i="4"/>
  <c r="BR716" i="4"/>
  <c r="BR717" i="4"/>
  <c r="BR718" i="4"/>
  <c r="BS699" i="4"/>
  <c r="BS700" i="4"/>
  <c r="BS701" i="4"/>
  <c r="BS702" i="4"/>
  <c r="BS703" i="4"/>
  <c r="BS704" i="4"/>
  <c r="BS705" i="4"/>
  <c r="BS706" i="4"/>
  <c r="BS707" i="4"/>
  <c r="BS708" i="4"/>
  <c r="BS709" i="4"/>
  <c r="BS710" i="4"/>
  <c r="BS711" i="4"/>
  <c r="BS712" i="4"/>
  <c r="BS713" i="4"/>
  <c r="BS714" i="4"/>
  <c r="BS715" i="4"/>
  <c r="BS716" i="4"/>
  <c r="BS717" i="4"/>
  <c r="BS718" i="4"/>
  <c r="BT699" i="4"/>
  <c r="BT700" i="4"/>
  <c r="BT701" i="4"/>
  <c r="BT702" i="4"/>
  <c r="BT703" i="4"/>
  <c r="BT704" i="4"/>
  <c r="BT705" i="4"/>
  <c r="BT706" i="4"/>
  <c r="BT707" i="4"/>
  <c r="BT708" i="4"/>
  <c r="BT709" i="4"/>
  <c r="BT710" i="4"/>
  <c r="BT711" i="4"/>
  <c r="BT712" i="4"/>
  <c r="BT713" i="4"/>
  <c r="BT714" i="4"/>
  <c r="BT715" i="4"/>
  <c r="BT716" i="4"/>
  <c r="BT717" i="4"/>
  <c r="BT718" i="4"/>
  <c r="BU699" i="4"/>
  <c r="BU700" i="4"/>
  <c r="BU701" i="4"/>
  <c r="BU702" i="4"/>
  <c r="BU703" i="4"/>
  <c r="BU704" i="4"/>
  <c r="BU705" i="4"/>
  <c r="BU706" i="4"/>
  <c r="BU707" i="4"/>
  <c r="BU708" i="4"/>
  <c r="BU709" i="4"/>
  <c r="BU710" i="4"/>
  <c r="BU711" i="4"/>
  <c r="BU712" i="4"/>
  <c r="BU713" i="4"/>
  <c r="BU714" i="4"/>
  <c r="BU715" i="4"/>
  <c r="BU716" i="4"/>
  <c r="BU717" i="4"/>
  <c r="BU718" i="4"/>
  <c r="BZ699" i="4"/>
  <c r="BZ700" i="4"/>
  <c r="BZ701" i="4"/>
  <c r="BZ702" i="4"/>
  <c r="BZ703" i="4"/>
  <c r="BZ704" i="4"/>
  <c r="BZ705" i="4"/>
  <c r="BZ706" i="4"/>
  <c r="BZ707" i="4"/>
  <c r="BZ708" i="4"/>
  <c r="BZ709" i="4"/>
  <c r="BZ710" i="4"/>
  <c r="BZ711" i="4"/>
  <c r="BZ712" i="4"/>
  <c r="BZ713" i="4"/>
  <c r="BZ714" i="4"/>
  <c r="BZ715" i="4"/>
  <c r="BZ716" i="4"/>
  <c r="BZ717" i="4"/>
  <c r="BZ718" i="4"/>
  <c r="BV729" i="4" l="1"/>
  <c r="BV726" i="4"/>
  <c r="BP723" i="4"/>
  <c r="BX723" i="4" s="1"/>
  <c r="CA723" i="4" s="1"/>
  <c r="CB723" i="4" s="1"/>
  <c r="CC723" i="4" s="1"/>
  <c r="CE723" i="4" s="1"/>
  <c r="BV728" i="4"/>
  <c r="BP732" i="4"/>
  <c r="BP722" i="4"/>
  <c r="BV731" i="4"/>
  <c r="BP730" i="4"/>
  <c r="BP726" i="4"/>
  <c r="BX726" i="4" s="1"/>
  <c r="CA726" i="4" s="1"/>
  <c r="CB726" i="4" s="1"/>
  <c r="BV727" i="4"/>
  <c r="BV724" i="4"/>
  <c r="BV722" i="4"/>
  <c r="BX722" i="4" s="1"/>
  <c r="CA722" i="4" s="1"/>
  <c r="CB722" i="4" s="1"/>
  <c r="CC722" i="4" s="1"/>
  <c r="CE722" i="4" s="1"/>
  <c r="BP731" i="4"/>
  <c r="BX731" i="4" s="1"/>
  <c r="CA731" i="4" s="1"/>
  <c r="CB731" i="4" s="1"/>
  <c r="CC731" i="4" s="1"/>
  <c r="CE731" i="4" s="1"/>
  <c r="BV723" i="4"/>
  <c r="BP729" i="4"/>
  <c r="BX729" i="4" s="1"/>
  <c r="CA729" i="4" s="1"/>
  <c r="CB729" i="4" s="1"/>
  <c r="CC729" i="4" s="1"/>
  <c r="CE729" i="4" s="1"/>
  <c r="BP727" i="4"/>
  <c r="BX727" i="4" s="1"/>
  <c r="CA727" i="4" s="1"/>
  <c r="CB727" i="4" s="1"/>
  <c r="CC727" i="4" s="1"/>
  <c r="BP728" i="4"/>
  <c r="BX728" i="4" s="1"/>
  <c r="CA728" i="4" s="1"/>
  <c r="CB728" i="4" s="1"/>
  <c r="CC728" i="4" s="1"/>
  <c r="CE728" i="4" s="1"/>
  <c r="BP725" i="4"/>
  <c r="BX725" i="4" s="1"/>
  <c r="CA725" i="4" s="1"/>
  <c r="CB725" i="4" s="1"/>
  <c r="CC725" i="4" s="1"/>
  <c r="CE725" i="4" s="1"/>
  <c r="BV732" i="4"/>
  <c r="BX732" i="4" s="1"/>
  <c r="CA732" i="4" s="1"/>
  <c r="CB732" i="4" s="1"/>
  <c r="CC732" i="4" s="1"/>
  <c r="BP724" i="4"/>
  <c r="BV730" i="4"/>
  <c r="BV721" i="4"/>
  <c r="BP720" i="4"/>
  <c r="BV719" i="4"/>
  <c r="BP721" i="4"/>
  <c r="BV713" i="4"/>
  <c r="BV708" i="4"/>
  <c r="BP719" i="4"/>
  <c r="BV720" i="4"/>
  <c r="BV711" i="4"/>
  <c r="BV699" i="4"/>
  <c r="BV710" i="4"/>
  <c r="BP713" i="4"/>
  <c r="BV701" i="4"/>
  <c r="BV709" i="4"/>
  <c r="BP701" i="4"/>
  <c r="BP708" i="4"/>
  <c r="BP711" i="4"/>
  <c r="BP699" i="4"/>
  <c r="BP700" i="4"/>
  <c r="BP716" i="4"/>
  <c r="BV715" i="4"/>
  <c r="BV703" i="4"/>
  <c r="BV707" i="4"/>
  <c r="BV718" i="4"/>
  <c r="BV706" i="4"/>
  <c r="BV717" i="4"/>
  <c r="BV705" i="4"/>
  <c r="BP709" i="4"/>
  <c r="BP712" i="4"/>
  <c r="BV712" i="4"/>
  <c r="BV700" i="4"/>
  <c r="BV716" i="4"/>
  <c r="BV704" i="4"/>
  <c r="BP715" i="4"/>
  <c r="BP703" i="4"/>
  <c r="BP707" i="4"/>
  <c r="BP704" i="4"/>
  <c r="BP714" i="4"/>
  <c r="BV714" i="4"/>
  <c r="BV702" i="4"/>
  <c r="BP718" i="4"/>
  <c r="BP706" i="4"/>
  <c r="BP710" i="4"/>
  <c r="BP702" i="4"/>
  <c r="BP717" i="4"/>
  <c r="BP705" i="4"/>
  <c r="BZ2" i="4"/>
  <c r="BN2" i="4"/>
  <c r="BN3" i="4"/>
  <c r="BN4" i="4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N230" i="4"/>
  <c r="BN231" i="4"/>
  <c r="BN232" i="4"/>
  <c r="BN233" i="4"/>
  <c r="BN234" i="4"/>
  <c r="BN235" i="4"/>
  <c r="BN236" i="4"/>
  <c r="BN237" i="4"/>
  <c r="BN238" i="4"/>
  <c r="BN239" i="4"/>
  <c r="BN240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330" i="4"/>
  <c r="BN331" i="4"/>
  <c r="BN332" i="4"/>
  <c r="BN333" i="4"/>
  <c r="BN334" i="4"/>
  <c r="BN335" i="4"/>
  <c r="BN336" i="4"/>
  <c r="BN337" i="4"/>
  <c r="BN338" i="4"/>
  <c r="BN339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384" i="4"/>
  <c r="BN385" i="4"/>
  <c r="BN386" i="4"/>
  <c r="BN387" i="4"/>
  <c r="BN388" i="4"/>
  <c r="BN389" i="4"/>
  <c r="BN390" i="4"/>
  <c r="BN391" i="4"/>
  <c r="BN392" i="4"/>
  <c r="BN393" i="4"/>
  <c r="BN394" i="4"/>
  <c r="BN395" i="4"/>
  <c r="BN396" i="4"/>
  <c r="BN397" i="4"/>
  <c r="BN398" i="4"/>
  <c r="BN399" i="4"/>
  <c r="BN400" i="4"/>
  <c r="BN401" i="4"/>
  <c r="BN402" i="4"/>
  <c r="BN403" i="4"/>
  <c r="BN404" i="4"/>
  <c r="BN405" i="4"/>
  <c r="BN406" i="4"/>
  <c r="BN407" i="4"/>
  <c r="BN408" i="4"/>
  <c r="BN409" i="4"/>
  <c r="BN410" i="4"/>
  <c r="BN411" i="4"/>
  <c r="BN412" i="4"/>
  <c r="BN413" i="4"/>
  <c r="BN414" i="4"/>
  <c r="BN415" i="4"/>
  <c r="BN416" i="4"/>
  <c r="BN417" i="4"/>
  <c r="BN418" i="4"/>
  <c r="BN419" i="4"/>
  <c r="BN420" i="4"/>
  <c r="BN421" i="4"/>
  <c r="BN422" i="4"/>
  <c r="BN423" i="4"/>
  <c r="BN424" i="4"/>
  <c r="BN425" i="4"/>
  <c r="BN426" i="4"/>
  <c r="BN427" i="4"/>
  <c r="BN428" i="4"/>
  <c r="BN429" i="4"/>
  <c r="BN430" i="4"/>
  <c r="BN431" i="4"/>
  <c r="BN432" i="4"/>
  <c r="BN433" i="4"/>
  <c r="BN434" i="4"/>
  <c r="BN435" i="4"/>
  <c r="BN436" i="4"/>
  <c r="BN437" i="4"/>
  <c r="BN438" i="4"/>
  <c r="BN439" i="4"/>
  <c r="BN440" i="4"/>
  <c r="BN441" i="4"/>
  <c r="BN442" i="4"/>
  <c r="BN443" i="4"/>
  <c r="BN444" i="4"/>
  <c r="BN445" i="4"/>
  <c r="BN446" i="4"/>
  <c r="BN447" i="4"/>
  <c r="BN448" i="4"/>
  <c r="BN449" i="4"/>
  <c r="BN450" i="4"/>
  <c r="BN451" i="4"/>
  <c r="BN452" i="4"/>
  <c r="BN453" i="4"/>
  <c r="BN454" i="4"/>
  <c r="BN455" i="4"/>
  <c r="BN456" i="4"/>
  <c r="BN457" i="4"/>
  <c r="BN458" i="4"/>
  <c r="BN459" i="4"/>
  <c r="BN460" i="4"/>
  <c r="BN461" i="4"/>
  <c r="BN462" i="4"/>
  <c r="BN463" i="4"/>
  <c r="BN464" i="4"/>
  <c r="BN465" i="4"/>
  <c r="BN466" i="4"/>
  <c r="BN467" i="4"/>
  <c r="BN468" i="4"/>
  <c r="BN469" i="4"/>
  <c r="BN470" i="4"/>
  <c r="BN471" i="4"/>
  <c r="BN472" i="4"/>
  <c r="BN473" i="4"/>
  <c r="BN474" i="4"/>
  <c r="BN475" i="4"/>
  <c r="BN476" i="4"/>
  <c r="BN477" i="4"/>
  <c r="BN478" i="4"/>
  <c r="BN479" i="4"/>
  <c r="BN480" i="4"/>
  <c r="BN481" i="4"/>
  <c r="BN482" i="4"/>
  <c r="BN483" i="4"/>
  <c r="BN484" i="4"/>
  <c r="BN485" i="4"/>
  <c r="BN486" i="4"/>
  <c r="BN487" i="4"/>
  <c r="BN488" i="4"/>
  <c r="BN489" i="4"/>
  <c r="BN490" i="4"/>
  <c r="BN491" i="4"/>
  <c r="BN492" i="4"/>
  <c r="BN493" i="4"/>
  <c r="BN494" i="4"/>
  <c r="BN495" i="4"/>
  <c r="BN496" i="4"/>
  <c r="BN497" i="4"/>
  <c r="BN498" i="4"/>
  <c r="BN499" i="4"/>
  <c r="BN500" i="4"/>
  <c r="BN501" i="4"/>
  <c r="BN502" i="4"/>
  <c r="BN503" i="4"/>
  <c r="BN504" i="4"/>
  <c r="BN505" i="4"/>
  <c r="BN506" i="4"/>
  <c r="BN507" i="4"/>
  <c r="BN508" i="4"/>
  <c r="BN509" i="4"/>
  <c r="BN510" i="4"/>
  <c r="BN511" i="4"/>
  <c r="BN512" i="4"/>
  <c r="BN513" i="4"/>
  <c r="BN514" i="4"/>
  <c r="BN515" i="4"/>
  <c r="BN516" i="4"/>
  <c r="BN517" i="4"/>
  <c r="BN518" i="4"/>
  <c r="BN519" i="4"/>
  <c r="BN520" i="4"/>
  <c r="BN521" i="4"/>
  <c r="BN522" i="4"/>
  <c r="BN523" i="4"/>
  <c r="BN524" i="4"/>
  <c r="BN525" i="4"/>
  <c r="BN526" i="4"/>
  <c r="BN527" i="4"/>
  <c r="BN528" i="4"/>
  <c r="BN529" i="4"/>
  <c r="BN530" i="4"/>
  <c r="BN531" i="4"/>
  <c r="BN532" i="4"/>
  <c r="BN533" i="4"/>
  <c r="BN534" i="4"/>
  <c r="BN535" i="4"/>
  <c r="BN536" i="4"/>
  <c r="BN537" i="4"/>
  <c r="BN538" i="4"/>
  <c r="BN539" i="4"/>
  <c r="BN540" i="4"/>
  <c r="BN541" i="4"/>
  <c r="BN542" i="4"/>
  <c r="BN543" i="4"/>
  <c r="BN544" i="4"/>
  <c r="BN545" i="4"/>
  <c r="BN546" i="4"/>
  <c r="BN547" i="4"/>
  <c r="BN548" i="4"/>
  <c r="BN549" i="4"/>
  <c r="BN550" i="4"/>
  <c r="BN551" i="4"/>
  <c r="BN552" i="4"/>
  <c r="BN553" i="4"/>
  <c r="BN554" i="4"/>
  <c r="BN555" i="4"/>
  <c r="BN556" i="4"/>
  <c r="BN557" i="4"/>
  <c r="BN558" i="4"/>
  <c r="BN559" i="4"/>
  <c r="BN560" i="4"/>
  <c r="BN561" i="4"/>
  <c r="BN562" i="4"/>
  <c r="BN563" i="4"/>
  <c r="BN564" i="4"/>
  <c r="BN565" i="4"/>
  <c r="BN566" i="4"/>
  <c r="BN567" i="4"/>
  <c r="BN568" i="4"/>
  <c r="BN569" i="4"/>
  <c r="BN570" i="4"/>
  <c r="BN571" i="4"/>
  <c r="BN572" i="4"/>
  <c r="BN573" i="4"/>
  <c r="BN574" i="4"/>
  <c r="BN575" i="4"/>
  <c r="BN576" i="4"/>
  <c r="BN577" i="4"/>
  <c r="BN578" i="4"/>
  <c r="BN579" i="4"/>
  <c r="BN580" i="4"/>
  <c r="BN581" i="4"/>
  <c r="BN582" i="4"/>
  <c r="BN583" i="4"/>
  <c r="BN584" i="4"/>
  <c r="BN585" i="4"/>
  <c r="BN586" i="4"/>
  <c r="BN587" i="4"/>
  <c r="BN588" i="4"/>
  <c r="BN589" i="4"/>
  <c r="BN590" i="4"/>
  <c r="BN591" i="4"/>
  <c r="BN592" i="4"/>
  <c r="BN593" i="4"/>
  <c r="BN594" i="4"/>
  <c r="BN595" i="4"/>
  <c r="BN596" i="4"/>
  <c r="BN597" i="4"/>
  <c r="BN598" i="4"/>
  <c r="BN599" i="4"/>
  <c r="BN600" i="4"/>
  <c r="BN601" i="4"/>
  <c r="BN602" i="4"/>
  <c r="BN603" i="4"/>
  <c r="BN604" i="4"/>
  <c r="BN605" i="4"/>
  <c r="BN606" i="4"/>
  <c r="BN607" i="4"/>
  <c r="BN608" i="4"/>
  <c r="BN609" i="4"/>
  <c r="BN610" i="4"/>
  <c r="BN611" i="4"/>
  <c r="BN612" i="4"/>
  <c r="BN613" i="4"/>
  <c r="BN614" i="4"/>
  <c r="BN615" i="4"/>
  <c r="BN616" i="4"/>
  <c r="BN617" i="4"/>
  <c r="BN618" i="4"/>
  <c r="BN619" i="4"/>
  <c r="BN620" i="4"/>
  <c r="BN621" i="4"/>
  <c r="BN622" i="4"/>
  <c r="BN623" i="4"/>
  <c r="BN624" i="4"/>
  <c r="BN625" i="4"/>
  <c r="BN626" i="4"/>
  <c r="BN627" i="4"/>
  <c r="BN628" i="4"/>
  <c r="BN629" i="4"/>
  <c r="BN630" i="4"/>
  <c r="BN631" i="4"/>
  <c r="BN632" i="4"/>
  <c r="BN633" i="4"/>
  <c r="BN634" i="4"/>
  <c r="BN635" i="4"/>
  <c r="BN636" i="4"/>
  <c r="BN637" i="4"/>
  <c r="BN638" i="4"/>
  <c r="BN639" i="4"/>
  <c r="BN640" i="4"/>
  <c r="BN641" i="4"/>
  <c r="BN642" i="4"/>
  <c r="BN643" i="4"/>
  <c r="BN644" i="4"/>
  <c r="BN645" i="4"/>
  <c r="BN646" i="4"/>
  <c r="BN647" i="4"/>
  <c r="BN648" i="4"/>
  <c r="BN649" i="4"/>
  <c r="BN650" i="4"/>
  <c r="BN651" i="4"/>
  <c r="BN652" i="4"/>
  <c r="BN653" i="4"/>
  <c r="BN654" i="4"/>
  <c r="BN655" i="4"/>
  <c r="BN656" i="4"/>
  <c r="BN657" i="4"/>
  <c r="BN658" i="4"/>
  <c r="BN659" i="4"/>
  <c r="BN660" i="4"/>
  <c r="BN661" i="4"/>
  <c r="BN662" i="4"/>
  <c r="BN663" i="4"/>
  <c r="BN664" i="4"/>
  <c r="BN665" i="4"/>
  <c r="BN666" i="4"/>
  <c r="BN667" i="4"/>
  <c r="BN668" i="4"/>
  <c r="BN669" i="4"/>
  <c r="BN670" i="4"/>
  <c r="BN671" i="4"/>
  <c r="BN672" i="4"/>
  <c r="BN673" i="4"/>
  <c r="BN674" i="4"/>
  <c r="BN675" i="4"/>
  <c r="BN676" i="4"/>
  <c r="BN677" i="4"/>
  <c r="BN678" i="4"/>
  <c r="BN679" i="4"/>
  <c r="BN680" i="4"/>
  <c r="BN681" i="4"/>
  <c r="BN682" i="4"/>
  <c r="BN683" i="4"/>
  <c r="BN684" i="4"/>
  <c r="BN685" i="4"/>
  <c r="BN686" i="4"/>
  <c r="BN687" i="4"/>
  <c r="BN688" i="4"/>
  <c r="BN689" i="4"/>
  <c r="BN690" i="4"/>
  <c r="BN691" i="4"/>
  <c r="BN692" i="4"/>
  <c r="BN693" i="4"/>
  <c r="BN694" i="4"/>
  <c r="BN695" i="4"/>
  <c r="BN696" i="4"/>
  <c r="BN697" i="4"/>
  <c r="BN698" i="4"/>
  <c r="BX730" i="4" l="1"/>
  <c r="CA730" i="4" s="1"/>
  <c r="CB730" i="4" s="1"/>
  <c r="BX704" i="4"/>
  <c r="CA704" i="4" s="1"/>
  <c r="CB704" i="4" s="1"/>
  <c r="CC704" i="4" s="1"/>
  <c r="CC726" i="4"/>
  <c r="CE726" i="4" s="1"/>
  <c r="BX724" i="4"/>
  <c r="CA724" i="4" s="1"/>
  <c r="CB724" i="4" s="1"/>
  <c r="CC724" i="4" s="1"/>
  <c r="CE724" i="4" s="1"/>
  <c r="BX709" i="4"/>
  <c r="CA709" i="4" s="1"/>
  <c r="CB709" i="4" s="1"/>
  <c r="CC709" i="4" s="1"/>
  <c r="CE709" i="4" s="1"/>
  <c r="CE727" i="4"/>
  <c r="BX700" i="4"/>
  <c r="CA700" i="4" s="1"/>
  <c r="CB700" i="4" s="1"/>
  <c r="CC700" i="4" s="1"/>
  <c r="BX713" i="4"/>
  <c r="CA713" i="4" s="1"/>
  <c r="CB713" i="4" s="1"/>
  <c r="CC713" i="4" s="1"/>
  <c r="CE732" i="4"/>
  <c r="BX708" i="4"/>
  <c r="CA708" i="4" s="1"/>
  <c r="CB708" i="4" s="1"/>
  <c r="CC708" i="4" s="1"/>
  <c r="CC730" i="4"/>
  <c r="CE730" i="4" s="1"/>
  <c r="BX716" i="4"/>
  <c r="CA716" i="4" s="1"/>
  <c r="CB716" i="4" s="1"/>
  <c r="CC716" i="4" s="1"/>
  <c r="BX699" i="4"/>
  <c r="CA699" i="4" s="1"/>
  <c r="CB699" i="4" s="1"/>
  <c r="CC699" i="4" s="1"/>
  <c r="BX721" i="4"/>
  <c r="CA721" i="4" s="1"/>
  <c r="CB721" i="4" s="1"/>
  <c r="BX710" i="4"/>
  <c r="CA710" i="4" s="1"/>
  <c r="CB710" i="4" s="1"/>
  <c r="CC710" i="4" s="1"/>
  <c r="CE710" i="4" s="1"/>
  <c r="BX720" i="4"/>
  <c r="CA720" i="4" s="1"/>
  <c r="CB720" i="4" s="1"/>
  <c r="CC720" i="4" s="1"/>
  <c r="CE720" i="4" s="1"/>
  <c r="BX719" i="4"/>
  <c r="CA719" i="4" s="1"/>
  <c r="CB719" i="4" s="1"/>
  <c r="CC719" i="4" s="1"/>
  <c r="CE719" i="4" s="1"/>
  <c r="BX712" i="4"/>
  <c r="CA712" i="4" s="1"/>
  <c r="CB712" i="4" s="1"/>
  <c r="CC712" i="4" s="1"/>
  <c r="BX711" i="4"/>
  <c r="CA711" i="4" s="1"/>
  <c r="CB711" i="4" s="1"/>
  <c r="BX717" i="4"/>
  <c r="CA717" i="4" s="1"/>
  <c r="CB717" i="4" s="1"/>
  <c r="CC717" i="4" s="1"/>
  <c r="BX702" i="4"/>
  <c r="CA702" i="4" s="1"/>
  <c r="CB702" i="4" s="1"/>
  <c r="CC702" i="4" s="1"/>
  <c r="CE702" i="4" s="1"/>
  <c r="BX714" i="4"/>
  <c r="CA714" i="4" s="1"/>
  <c r="CB714" i="4" s="1"/>
  <c r="CC714" i="4" s="1"/>
  <c r="BX701" i="4"/>
  <c r="CA701" i="4" s="1"/>
  <c r="CB701" i="4" s="1"/>
  <c r="CC701" i="4" s="1"/>
  <c r="BX707" i="4"/>
  <c r="CA707" i="4" s="1"/>
  <c r="CB707" i="4" s="1"/>
  <c r="CC707" i="4" s="1"/>
  <c r="CE707" i="4" s="1"/>
  <c r="BX718" i="4"/>
  <c r="CA718" i="4" s="1"/>
  <c r="CB718" i="4" s="1"/>
  <c r="CC718" i="4" s="1"/>
  <c r="BX706" i="4"/>
  <c r="CA706" i="4" s="1"/>
  <c r="CB706" i="4" s="1"/>
  <c r="BX703" i="4"/>
  <c r="CA703" i="4" s="1"/>
  <c r="CB703" i="4" s="1"/>
  <c r="CC703" i="4" s="1"/>
  <c r="CE703" i="4" s="1"/>
  <c r="BX705" i="4"/>
  <c r="CA705" i="4" s="1"/>
  <c r="CB705" i="4" s="1"/>
  <c r="CC705" i="4" s="1"/>
  <c r="CE705" i="4" s="1"/>
  <c r="BX715" i="4"/>
  <c r="CA715" i="4" s="1"/>
  <c r="CB715" i="4" s="1"/>
  <c r="CE700" i="4"/>
  <c r="CE713" i="4"/>
  <c r="BZ3" i="4"/>
  <c r="BZ4" i="4"/>
  <c r="BZ5" i="4"/>
  <c r="BZ6" i="4"/>
  <c r="BZ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98" i="4"/>
  <c r="BZ99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Z113" i="4"/>
  <c r="BZ114" i="4"/>
  <c r="BZ115" i="4"/>
  <c r="BZ116" i="4"/>
  <c r="BZ117" i="4"/>
  <c r="BZ118" i="4"/>
  <c r="BZ119" i="4"/>
  <c r="BZ120" i="4"/>
  <c r="BZ121" i="4"/>
  <c r="BZ122" i="4"/>
  <c r="BZ123" i="4"/>
  <c r="BZ124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40" i="4"/>
  <c r="BZ141" i="4"/>
  <c r="BZ142" i="4"/>
  <c r="BZ143" i="4"/>
  <c r="BZ144" i="4"/>
  <c r="BZ145" i="4"/>
  <c r="BZ146" i="4"/>
  <c r="BZ147" i="4"/>
  <c r="BZ148" i="4"/>
  <c r="BZ149" i="4"/>
  <c r="BZ150" i="4"/>
  <c r="BZ151" i="4"/>
  <c r="BZ152" i="4"/>
  <c r="BZ153" i="4"/>
  <c r="BZ154" i="4"/>
  <c r="BZ155" i="4"/>
  <c r="BZ156" i="4"/>
  <c r="BZ157" i="4"/>
  <c r="BZ158" i="4"/>
  <c r="BZ159" i="4"/>
  <c r="BZ160" i="4"/>
  <c r="BZ161" i="4"/>
  <c r="BZ162" i="4"/>
  <c r="BZ163" i="4"/>
  <c r="BZ164" i="4"/>
  <c r="BZ165" i="4"/>
  <c r="BZ166" i="4"/>
  <c r="BZ167" i="4"/>
  <c r="BZ168" i="4"/>
  <c r="BZ169" i="4"/>
  <c r="BZ170" i="4"/>
  <c r="BZ171" i="4"/>
  <c r="BZ172" i="4"/>
  <c r="BZ173" i="4"/>
  <c r="BZ174" i="4"/>
  <c r="BZ175" i="4"/>
  <c r="BZ176" i="4"/>
  <c r="BZ177" i="4"/>
  <c r="BZ178" i="4"/>
  <c r="BZ179" i="4"/>
  <c r="BZ180" i="4"/>
  <c r="BZ181" i="4"/>
  <c r="BZ182" i="4"/>
  <c r="BZ183" i="4"/>
  <c r="BZ184" i="4"/>
  <c r="BZ185" i="4"/>
  <c r="BZ186" i="4"/>
  <c r="BZ187" i="4"/>
  <c r="BZ188" i="4"/>
  <c r="BZ189" i="4"/>
  <c r="BZ190" i="4"/>
  <c r="BZ191" i="4"/>
  <c r="BZ192" i="4"/>
  <c r="BZ193" i="4"/>
  <c r="BZ194" i="4"/>
  <c r="BZ195" i="4"/>
  <c r="BZ196" i="4"/>
  <c r="BZ197" i="4"/>
  <c r="BZ198" i="4"/>
  <c r="BZ199" i="4"/>
  <c r="BZ200" i="4"/>
  <c r="BZ201" i="4"/>
  <c r="BZ202" i="4"/>
  <c r="BZ203" i="4"/>
  <c r="BZ204" i="4"/>
  <c r="BZ205" i="4"/>
  <c r="BZ206" i="4"/>
  <c r="BZ207" i="4"/>
  <c r="BZ208" i="4"/>
  <c r="BZ209" i="4"/>
  <c r="BZ210" i="4"/>
  <c r="BZ211" i="4"/>
  <c r="BZ212" i="4"/>
  <c r="BZ213" i="4"/>
  <c r="BZ214" i="4"/>
  <c r="BZ215" i="4"/>
  <c r="BZ216" i="4"/>
  <c r="BZ217" i="4"/>
  <c r="BZ218" i="4"/>
  <c r="BZ219" i="4"/>
  <c r="BZ220" i="4"/>
  <c r="BZ221" i="4"/>
  <c r="BZ222" i="4"/>
  <c r="BZ223" i="4"/>
  <c r="BZ224" i="4"/>
  <c r="BZ225" i="4"/>
  <c r="BZ226" i="4"/>
  <c r="BZ227" i="4"/>
  <c r="BZ228" i="4"/>
  <c r="BZ229" i="4"/>
  <c r="BZ230" i="4"/>
  <c r="BZ231" i="4"/>
  <c r="BZ232" i="4"/>
  <c r="BZ233" i="4"/>
  <c r="BZ234" i="4"/>
  <c r="BZ235" i="4"/>
  <c r="BZ236" i="4"/>
  <c r="BZ237" i="4"/>
  <c r="BZ238" i="4"/>
  <c r="BZ239" i="4"/>
  <c r="BZ240" i="4"/>
  <c r="BZ241" i="4"/>
  <c r="BZ242" i="4"/>
  <c r="BZ243" i="4"/>
  <c r="BZ244" i="4"/>
  <c r="BZ245" i="4"/>
  <c r="BZ246" i="4"/>
  <c r="BZ247" i="4"/>
  <c r="BZ248" i="4"/>
  <c r="BZ249" i="4"/>
  <c r="BZ250" i="4"/>
  <c r="BZ251" i="4"/>
  <c r="BZ252" i="4"/>
  <c r="BZ253" i="4"/>
  <c r="BZ254" i="4"/>
  <c r="BZ255" i="4"/>
  <c r="BZ256" i="4"/>
  <c r="BZ257" i="4"/>
  <c r="BZ258" i="4"/>
  <c r="BZ259" i="4"/>
  <c r="BZ260" i="4"/>
  <c r="BZ261" i="4"/>
  <c r="BZ262" i="4"/>
  <c r="BZ263" i="4"/>
  <c r="BZ264" i="4"/>
  <c r="BZ265" i="4"/>
  <c r="BZ266" i="4"/>
  <c r="BZ267" i="4"/>
  <c r="BZ268" i="4"/>
  <c r="BZ269" i="4"/>
  <c r="BZ270" i="4"/>
  <c r="BZ271" i="4"/>
  <c r="BZ272" i="4"/>
  <c r="BZ273" i="4"/>
  <c r="BZ274" i="4"/>
  <c r="BZ275" i="4"/>
  <c r="BZ276" i="4"/>
  <c r="BZ277" i="4"/>
  <c r="BZ278" i="4"/>
  <c r="BZ279" i="4"/>
  <c r="BZ280" i="4"/>
  <c r="BZ281" i="4"/>
  <c r="BZ282" i="4"/>
  <c r="BZ283" i="4"/>
  <c r="BZ284" i="4"/>
  <c r="BZ285" i="4"/>
  <c r="BZ286" i="4"/>
  <c r="BZ287" i="4"/>
  <c r="BZ288" i="4"/>
  <c r="BZ289" i="4"/>
  <c r="BZ290" i="4"/>
  <c r="BZ291" i="4"/>
  <c r="BZ292" i="4"/>
  <c r="BZ293" i="4"/>
  <c r="BZ294" i="4"/>
  <c r="BZ295" i="4"/>
  <c r="BZ296" i="4"/>
  <c r="BZ297" i="4"/>
  <c r="BZ298" i="4"/>
  <c r="BZ299" i="4"/>
  <c r="BZ300" i="4"/>
  <c r="BZ301" i="4"/>
  <c r="BZ302" i="4"/>
  <c r="BZ303" i="4"/>
  <c r="BZ304" i="4"/>
  <c r="BZ305" i="4"/>
  <c r="BZ306" i="4"/>
  <c r="BZ307" i="4"/>
  <c r="BZ308" i="4"/>
  <c r="BZ309" i="4"/>
  <c r="BZ310" i="4"/>
  <c r="BZ311" i="4"/>
  <c r="BZ312" i="4"/>
  <c r="BZ313" i="4"/>
  <c r="BZ314" i="4"/>
  <c r="BZ315" i="4"/>
  <c r="BZ316" i="4"/>
  <c r="BZ317" i="4"/>
  <c r="BZ318" i="4"/>
  <c r="BZ319" i="4"/>
  <c r="BZ320" i="4"/>
  <c r="BZ321" i="4"/>
  <c r="BZ322" i="4"/>
  <c r="BZ323" i="4"/>
  <c r="BZ324" i="4"/>
  <c r="BZ325" i="4"/>
  <c r="BZ326" i="4"/>
  <c r="BZ327" i="4"/>
  <c r="BZ328" i="4"/>
  <c r="BZ329" i="4"/>
  <c r="BZ330" i="4"/>
  <c r="BZ331" i="4"/>
  <c r="BZ332" i="4"/>
  <c r="BZ333" i="4"/>
  <c r="BZ334" i="4"/>
  <c r="BZ335" i="4"/>
  <c r="BZ336" i="4"/>
  <c r="BZ337" i="4"/>
  <c r="BZ338" i="4"/>
  <c r="BZ339" i="4"/>
  <c r="BZ340" i="4"/>
  <c r="BZ341" i="4"/>
  <c r="BZ342" i="4"/>
  <c r="BZ343" i="4"/>
  <c r="BZ344" i="4"/>
  <c r="BZ345" i="4"/>
  <c r="BZ346" i="4"/>
  <c r="BZ347" i="4"/>
  <c r="BZ348" i="4"/>
  <c r="BZ349" i="4"/>
  <c r="BZ350" i="4"/>
  <c r="BZ351" i="4"/>
  <c r="BZ352" i="4"/>
  <c r="BZ353" i="4"/>
  <c r="BZ354" i="4"/>
  <c r="BZ355" i="4"/>
  <c r="BZ356" i="4"/>
  <c r="BZ357" i="4"/>
  <c r="BZ358" i="4"/>
  <c r="BZ359" i="4"/>
  <c r="BZ360" i="4"/>
  <c r="BZ361" i="4"/>
  <c r="BZ362" i="4"/>
  <c r="BZ363" i="4"/>
  <c r="BZ364" i="4"/>
  <c r="BZ365" i="4"/>
  <c r="BZ366" i="4"/>
  <c r="BZ367" i="4"/>
  <c r="BZ368" i="4"/>
  <c r="BZ369" i="4"/>
  <c r="BZ370" i="4"/>
  <c r="BZ371" i="4"/>
  <c r="BZ372" i="4"/>
  <c r="BZ373" i="4"/>
  <c r="BZ374" i="4"/>
  <c r="BZ375" i="4"/>
  <c r="BZ376" i="4"/>
  <c r="BZ377" i="4"/>
  <c r="BZ378" i="4"/>
  <c r="BZ379" i="4"/>
  <c r="BZ380" i="4"/>
  <c r="BZ381" i="4"/>
  <c r="BZ382" i="4"/>
  <c r="BZ383" i="4"/>
  <c r="BZ384" i="4"/>
  <c r="BZ385" i="4"/>
  <c r="BZ386" i="4"/>
  <c r="BZ387" i="4"/>
  <c r="BZ388" i="4"/>
  <c r="BZ389" i="4"/>
  <c r="BZ390" i="4"/>
  <c r="BZ391" i="4"/>
  <c r="BZ392" i="4"/>
  <c r="BZ393" i="4"/>
  <c r="BZ394" i="4"/>
  <c r="BZ395" i="4"/>
  <c r="BZ396" i="4"/>
  <c r="BZ397" i="4"/>
  <c r="BZ398" i="4"/>
  <c r="BZ399" i="4"/>
  <c r="BZ400" i="4"/>
  <c r="BZ401" i="4"/>
  <c r="BZ402" i="4"/>
  <c r="BZ403" i="4"/>
  <c r="BZ404" i="4"/>
  <c r="BZ405" i="4"/>
  <c r="BZ406" i="4"/>
  <c r="BZ407" i="4"/>
  <c r="BZ408" i="4"/>
  <c r="BZ409" i="4"/>
  <c r="BZ410" i="4"/>
  <c r="BZ411" i="4"/>
  <c r="BZ412" i="4"/>
  <c r="BZ413" i="4"/>
  <c r="BZ414" i="4"/>
  <c r="BZ415" i="4"/>
  <c r="BZ416" i="4"/>
  <c r="BZ417" i="4"/>
  <c r="BZ418" i="4"/>
  <c r="BZ419" i="4"/>
  <c r="BZ420" i="4"/>
  <c r="BZ421" i="4"/>
  <c r="BZ422" i="4"/>
  <c r="BZ423" i="4"/>
  <c r="BZ424" i="4"/>
  <c r="BZ425" i="4"/>
  <c r="BZ426" i="4"/>
  <c r="BZ427" i="4"/>
  <c r="BZ428" i="4"/>
  <c r="BZ429" i="4"/>
  <c r="BZ430" i="4"/>
  <c r="BZ431" i="4"/>
  <c r="BZ432" i="4"/>
  <c r="BZ433" i="4"/>
  <c r="BZ434" i="4"/>
  <c r="BZ435" i="4"/>
  <c r="BZ436" i="4"/>
  <c r="BZ437" i="4"/>
  <c r="BZ438" i="4"/>
  <c r="BZ439" i="4"/>
  <c r="BZ440" i="4"/>
  <c r="BZ441" i="4"/>
  <c r="BZ442" i="4"/>
  <c r="BZ443" i="4"/>
  <c r="BZ444" i="4"/>
  <c r="BZ445" i="4"/>
  <c r="BZ446" i="4"/>
  <c r="BZ447" i="4"/>
  <c r="BZ448" i="4"/>
  <c r="BZ449" i="4"/>
  <c r="BZ450" i="4"/>
  <c r="BZ451" i="4"/>
  <c r="BZ452" i="4"/>
  <c r="BZ453" i="4"/>
  <c r="BZ454" i="4"/>
  <c r="BZ455" i="4"/>
  <c r="BZ456" i="4"/>
  <c r="BZ457" i="4"/>
  <c r="BZ458" i="4"/>
  <c r="BZ459" i="4"/>
  <c r="BZ460" i="4"/>
  <c r="BZ461" i="4"/>
  <c r="BZ462" i="4"/>
  <c r="BZ463" i="4"/>
  <c r="BZ464" i="4"/>
  <c r="BZ465" i="4"/>
  <c r="BZ466" i="4"/>
  <c r="BZ467" i="4"/>
  <c r="BZ468" i="4"/>
  <c r="BZ469" i="4"/>
  <c r="BZ470" i="4"/>
  <c r="BZ471" i="4"/>
  <c r="BZ472" i="4"/>
  <c r="BZ473" i="4"/>
  <c r="BZ474" i="4"/>
  <c r="BZ475" i="4"/>
  <c r="BZ476" i="4"/>
  <c r="BZ477" i="4"/>
  <c r="BZ478" i="4"/>
  <c r="BZ479" i="4"/>
  <c r="BZ480" i="4"/>
  <c r="BZ481" i="4"/>
  <c r="BZ482" i="4"/>
  <c r="BZ483" i="4"/>
  <c r="BZ484" i="4"/>
  <c r="BZ485" i="4"/>
  <c r="BZ486" i="4"/>
  <c r="BZ487" i="4"/>
  <c r="BZ488" i="4"/>
  <c r="BZ489" i="4"/>
  <c r="BZ490" i="4"/>
  <c r="BZ491" i="4"/>
  <c r="BZ492" i="4"/>
  <c r="BZ493" i="4"/>
  <c r="BZ494" i="4"/>
  <c r="BZ495" i="4"/>
  <c r="BZ496" i="4"/>
  <c r="BZ497" i="4"/>
  <c r="BZ498" i="4"/>
  <c r="BZ499" i="4"/>
  <c r="BZ500" i="4"/>
  <c r="BZ501" i="4"/>
  <c r="BZ502" i="4"/>
  <c r="BZ503" i="4"/>
  <c r="BZ504" i="4"/>
  <c r="BZ505" i="4"/>
  <c r="BZ506" i="4"/>
  <c r="BZ507" i="4"/>
  <c r="BZ508" i="4"/>
  <c r="BZ509" i="4"/>
  <c r="BZ510" i="4"/>
  <c r="BZ511" i="4"/>
  <c r="BZ512" i="4"/>
  <c r="BZ513" i="4"/>
  <c r="BZ514" i="4"/>
  <c r="BZ515" i="4"/>
  <c r="BZ516" i="4"/>
  <c r="BZ517" i="4"/>
  <c r="BZ518" i="4"/>
  <c r="BZ519" i="4"/>
  <c r="BZ520" i="4"/>
  <c r="BZ521" i="4"/>
  <c r="BZ522" i="4"/>
  <c r="BZ523" i="4"/>
  <c r="BZ524" i="4"/>
  <c r="BZ525" i="4"/>
  <c r="BZ526" i="4"/>
  <c r="BZ527" i="4"/>
  <c r="BZ528" i="4"/>
  <c r="BZ529" i="4"/>
  <c r="BZ530" i="4"/>
  <c r="BZ531" i="4"/>
  <c r="BZ532" i="4"/>
  <c r="BZ533" i="4"/>
  <c r="BZ534" i="4"/>
  <c r="BZ535" i="4"/>
  <c r="BZ536" i="4"/>
  <c r="BZ537" i="4"/>
  <c r="BZ538" i="4"/>
  <c r="BZ539" i="4"/>
  <c r="BZ540" i="4"/>
  <c r="BZ541" i="4"/>
  <c r="BZ542" i="4"/>
  <c r="BZ543" i="4"/>
  <c r="BZ544" i="4"/>
  <c r="BZ545" i="4"/>
  <c r="BZ546" i="4"/>
  <c r="BZ547" i="4"/>
  <c r="BZ548" i="4"/>
  <c r="BZ549" i="4"/>
  <c r="BZ550" i="4"/>
  <c r="BZ551" i="4"/>
  <c r="BZ552" i="4"/>
  <c r="BZ553" i="4"/>
  <c r="BZ554" i="4"/>
  <c r="BZ555" i="4"/>
  <c r="BZ556" i="4"/>
  <c r="BZ557" i="4"/>
  <c r="BZ558" i="4"/>
  <c r="BZ559" i="4"/>
  <c r="BZ560" i="4"/>
  <c r="BZ561" i="4"/>
  <c r="BZ562" i="4"/>
  <c r="BZ563" i="4"/>
  <c r="BZ564" i="4"/>
  <c r="BZ565" i="4"/>
  <c r="BZ566" i="4"/>
  <c r="BZ567" i="4"/>
  <c r="BZ568" i="4"/>
  <c r="BZ569" i="4"/>
  <c r="BZ570" i="4"/>
  <c r="BZ571" i="4"/>
  <c r="BZ572" i="4"/>
  <c r="BZ573" i="4"/>
  <c r="BZ574" i="4"/>
  <c r="BZ575" i="4"/>
  <c r="BZ576" i="4"/>
  <c r="BZ577" i="4"/>
  <c r="BZ578" i="4"/>
  <c r="BZ579" i="4"/>
  <c r="BZ580" i="4"/>
  <c r="BZ581" i="4"/>
  <c r="BZ582" i="4"/>
  <c r="BZ583" i="4"/>
  <c r="BZ584" i="4"/>
  <c r="BZ585" i="4"/>
  <c r="BZ586" i="4"/>
  <c r="BZ587" i="4"/>
  <c r="BZ588" i="4"/>
  <c r="BZ589" i="4"/>
  <c r="BZ590" i="4"/>
  <c r="BZ591" i="4"/>
  <c r="BZ592" i="4"/>
  <c r="BZ593" i="4"/>
  <c r="BZ594" i="4"/>
  <c r="BZ595" i="4"/>
  <c r="BZ596" i="4"/>
  <c r="BZ597" i="4"/>
  <c r="BZ598" i="4"/>
  <c r="BZ599" i="4"/>
  <c r="BZ600" i="4"/>
  <c r="BZ601" i="4"/>
  <c r="BZ602" i="4"/>
  <c r="BZ603" i="4"/>
  <c r="BZ604" i="4"/>
  <c r="BZ605" i="4"/>
  <c r="BZ606" i="4"/>
  <c r="BZ607" i="4"/>
  <c r="BZ608" i="4"/>
  <c r="BZ609" i="4"/>
  <c r="BZ610" i="4"/>
  <c r="BZ611" i="4"/>
  <c r="BZ612" i="4"/>
  <c r="BZ613" i="4"/>
  <c r="BZ614" i="4"/>
  <c r="BZ615" i="4"/>
  <c r="BZ616" i="4"/>
  <c r="BZ617" i="4"/>
  <c r="BZ618" i="4"/>
  <c r="BZ619" i="4"/>
  <c r="BZ620" i="4"/>
  <c r="BZ621" i="4"/>
  <c r="BZ622" i="4"/>
  <c r="BZ623" i="4"/>
  <c r="BZ624" i="4"/>
  <c r="BZ625" i="4"/>
  <c r="BZ626" i="4"/>
  <c r="BZ627" i="4"/>
  <c r="BZ628" i="4"/>
  <c r="BZ629" i="4"/>
  <c r="BZ630" i="4"/>
  <c r="BZ631" i="4"/>
  <c r="BZ632" i="4"/>
  <c r="BZ633" i="4"/>
  <c r="BZ634" i="4"/>
  <c r="BZ635" i="4"/>
  <c r="BZ636" i="4"/>
  <c r="BZ637" i="4"/>
  <c r="BZ638" i="4"/>
  <c r="BZ639" i="4"/>
  <c r="BZ640" i="4"/>
  <c r="BZ641" i="4"/>
  <c r="BZ642" i="4"/>
  <c r="BZ643" i="4"/>
  <c r="BZ644" i="4"/>
  <c r="BZ645" i="4"/>
  <c r="BZ646" i="4"/>
  <c r="BZ647" i="4"/>
  <c r="BZ648" i="4"/>
  <c r="BZ649" i="4"/>
  <c r="BZ650" i="4"/>
  <c r="BZ651" i="4"/>
  <c r="BZ652" i="4"/>
  <c r="BZ653" i="4"/>
  <c r="BZ654" i="4"/>
  <c r="BZ655" i="4"/>
  <c r="BZ656" i="4"/>
  <c r="BZ657" i="4"/>
  <c r="BZ658" i="4"/>
  <c r="BZ659" i="4"/>
  <c r="BZ660" i="4"/>
  <c r="BZ661" i="4"/>
  <c r="BZ662" i="4"/>
  <c r="BZ663" i="4"/>
  <c r="BZ664" i="4"/>
  <c r="BZ665" i="4"/>
  <c r="BZ666" i="4"/>
  <c r="BZ667" i="4"/>
  <c r="BZ668" i="4"/>
  <c r="BZ669" i="4"/>
  <c r="BZ670" i="4"/>
  <c r="BZ671" i="4"/>
  <c r="BZ672" i="4"/>
  <c r="BZ673" i="4"/>
  <c r="BZ674" i="4"/>
  <c r="BZ675" i="4"/>
  <c r="BZ676" i="4"/>
  <c r="BZ677" i="4"/>
  <c r="BZ678" i="4"/>
  <c r="BZ679" i="4"/>
  <c r="BZ680" i="4"/>
  <c r="BZ681" i="4"/>
  <c r="BZ682" i="4"/>
  <c r="BZ683" i="4"/>
  <c r="BZ684" i="4"/>
  <c r="BZ685" i="4"/>
  <c r="BZ686" i="4"/>
  <c r="BZ687" i="4"/>
  <c r="BZ688" i="4"/>
  <c r="BZ689" i="4"/>
  <c r="BZ690" i="4"/>
  <c r="BZ691" i="4"/>
  <c r="BZ692" i="4"/>
  <c r="BZ693" i="4"/>
  <c r="BZ694" i="4"/>
  <c r="BZ695" i="4"/>
  <c r="BZ696" i="4"/>
  <c r="BZ697" i="4"/>
  <c r="BZ698" i="4"/>
  <c r="CE714" i="4" l="1"/>
  <c r="CE704" i="4"/>
  <c r="CE716" i="4"/>
  <c r="CE708" i="4"/>
  <c r="CE712" i="4"/>
  <c r="CC711" i="4"/>
  <c r="CE711" i="4" s="1"/>
  <c r="CE699" i="4"/>
  <c r="CC721" i="4"/>
  <c r="CE721" i="4"/>
  <c r="CE701" i="4"/>
  <c r="CC715" i="4"/>
  <c r="CE715" i="4" s="1"/>
  <c r="CE717" i="4"/>
  <c r="CC706" i="4"/>
  <c r="CE706" i="4" s="1"/>
  <c r="CE718" i="4"/>
  <c r="BH698" i="4"/>
  <c r="BI698" i="4"/>
  <c r="BK698" i="4"/>
  <c r="BL698" i="4"/>
  <c r="BM698" i="4"/>
  <c r="BO698" i="4"/>
  <c r="BR698" i="4"/>
  <c r="BS698" i="4"/>
  <c r="BT698" i="4"/>
  <c r="BU698" i="4"/>
  <c r="BH697" i="4"/>
  <c r="BH2" i="4"/>
  <c r="BQ2" i="4" s="1"/>
  <c r="BW2" i="4" s="1"/>
  <c r="BY2" i="4" s="1"/>
  <c r="BI697" i="4"/>
  <c r="BK697" i="4"/>
  <c r="BL697" i="4"/>
  <c r="BM697" i="4"/>
  <c r="BO697" i="4"/>
  <c r="BR697" i="4"/>
  <c r="BS697" i="4"/>
  <c r="BT697" i="4"/>
  <c r="BU697" i="4"/>
  <c r="BQ697" i="4" l="1"/>
  <c r="BW697" i="4" s="1"/>
  <c r="BY697" i="4" s="1"/>
  <c r="BQ698" i="4"/>
  <c r="BW698" i="4" s="1"/>
  <c r="BY698" i="4" s="1"/>
  <c r="BV698" i="4"/>
  <c r="BV697" i="4"/>
  <c r="BP697" i="4"/>
  <c r="BP698" i="4"/>
  <c r="BT2" i="4"/>
  <c r="BT3" i="4"/>
  <c r="BT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13" i="4"/>
  <c r="BT114" i="4"/>
  <c r="BT115" i="4"/>
  <c r="BT116" i="4"/>
  <c r="BT117" i="4"/>
  <c r="BT118" i="4"/>
  <c r="BT119" i="4"/>
  <c r="BT120" i="4"/>
  <c r="BT121" i="4"/>
  <c r="BT122" i="4"/>
  <c r="BT123" i="4"/>
  <c r="BT124" i="4"/>
  <c r="BT125" i="4"/>
  <c r="BT126" i="4"/>
  <c r="BT127" i="4"/>
  <c r="BT128" i="4"/>
  <c r="BT129" i="4"/>
  <c r="BT130" i="4"/>
  <c r="BT131" i="4"/>
  <c r="BT132" i="4"/>
  <c r="BT133" i="4"/>
  <c r="BT134" i="4"/>
  <c r="BT135" i="4"/>
  <c r="BT136" i="4"/>
  <c r="BT137" i="4"/>
  <c r="BT138" i="4"/>
  <c r="BT139" i="4"/>
  <c r="BT140" i="4"/>
  <c r="BT141" i="4"/>
  <c r="BT142" i="4"/>
  <c r="BT143" i="4"/>
  <c r="BT144" i="4"/>
  <c r="BT145" i="4"/>
  <c r="BT146" i="4"/>
  <c r="BT147" i="4"/>
  <c r="BT148" i="4"/>
  <c r="BT149" i="4"/>
  <c r="BT150" i="4"/>
  <c r="BT151" i="4"/>
  <c r="BT152" i="4"/>
  <c r="BT153" i="4"/>
  <c r="BT154" i="4"/>
  <c r="BT155" i="4"/>
  <c r="BT156" i="4"/>
  <c r="BT157" i="4"/>
  <c r="BT158" i="4"/>
  <c r="BT159" i="4"/>
  <c r="BT160" i="4"/>
  <c r="BT161" i="4"/>
  <c r="BT162" i="4"/>
  <c r="BT163" i="4"/>
  <c r="BT164" i="4"/>
  <c r="BT165" i="4"/>
  <c r="BT166" i="4"/>
  <c r="BT167" i="4"/>
  <c r="BT168" i="4"/>
  <c r="BT169" i="4"/>
  <c r="BT170" i="4"/>
  <c r="BT171" i="4"/>
  <c r="BT172" i="4"/>
  <c r="BT173" i="4"/>
  <c r="BT174" i="4"/>
  <c r="BT175" i="4"/>
  <c r="BT176" i="4"/>
  <c r="BT177" i="4"/>
  <c r="BT178" i="4"/>
  <c r="BT179" i="4"/>
  <c r="BT180" i="4"/>
  <c r="BT181" i="4"/>
  <c r="BT182" i="4"/>
  <c r="BT183" i="4"/>
  <c r="BT184" i="4"/>
  <c r="BT185" i="4"/>
  <c r="BT186" i="4"/>
  <c r="BT187" i="4"/>
  <c r="BT188" i="4"/>
  <c r="BT189" i="4"/>
  <c r="BT190" i="4"/>
  <c r="BT191" i="4"/>
  <c r="BT192" i="4"/>
  <c r="BT193" i="4"/>
  <c r="BT194" i="4"/>
  <c r="BT195" i="4"/>
  <c r="BT196" i="4"/>
  <c r="BT197" i="4"/>
  <c r="BT198" i="4"/>
  <c r="BT199" i="4"/>
  <c r="BT200" i="4"/>
  <c r="BT201" i="4"/>
  <c r="BT202" i="4"/>
  <c r="BT203" i="4"/>
  <c r="BT204" i="4"/>
  <c r="BT205" i="4"/>
  <c r="BT206" i="4"/>
  <c r="BT207" i="4"/>
  <c r="BT208" i="4"/>
  <c r="BT209" i="4"/>
  <c r="BT210" i="4"/>
  <c r="BT211" i="4"/>
  <c r="BT212" i="4"/>
  <c r="BT213" i="4"/>
  <c r="BT214" i="4"/>
  <c r="BT215" i="4"/>
  <c r="BT216" i="4"/>
  <c r="BT217" i="4"/>
  <c r="BT218" i="4"/>
  <c r="BT219" i="4"/>
  <c r="BT220" i="4"/>
  <c r="BT221" i="4"/>
  <c r="BT222" i="4"/>
  <c r="BT223" i="4"/>
  <c r="BT224" i="4"/>
  <c r="BT225" i="4"/>
  <c r="BT226" i="4"/>
  <c r="BT227" i="4"/>
  <c r="BT228" i="4"/>
  <c r="BT229" i="4"/>
  <c r="BT230" i="4"/>
  <c r="BT231" i="4"/>
  <c r="BT232" i="4"/>
  <c r="BT233" i="4"/>
  <c r="BT234" i="4"/>
  <c r="BT235" i="4"/>
  <c r="BT236" i="4"/>
  <c r="BT237" i="4"/>
  <c r="BT238" i="4"/>
  <c r="BT239" i="4"/>
  <c r="BT240" i="4"/>
  <c r="BT241" i="4"/>
  <c r="BT242" i="4"/>
  <c r="BT243" i="4"/>
  <c r="BT244" i="4"/>
  <c r="BT245" i="4"/>
  <c r="BT246" i="4"/>
  <c r="BT247" i="4"/>
  <c r="BT248" i="4"/>
  <c r="BT249" i="4"/>
  <c r="BT250" i="4"/>
  <c r="BT251" i="4"/>
  <c r="BT252" i="4"/>
  <c r="BT253" i="4"/>
  <c r="BT254" i="4"/>
  <c r="BT255" i="4"/>
  <c r="BT256" i="4"/>
  <c r="BT257" i="4"/>
  <c r="BT258" i="4"/>
  <c r="BT259" i="4"/>
  <c r="BT260" i="4"/>
  <c r="BT261" i="4"/>
  <c r="BT262" i="4"/>
  <c r="BT263" i="4"/>
  <c r="BT264" i="4"/>
  <c r="BT265" i="4"/>
  <c r="BT266" i="4"/>
  <c r="BT267" i="4"/>
  <c r="BT268" i="4"/>
  <c r="BT269" i="4"/>
  <c r="BT270" i="4"/>
  <c r="BT271" i="4"/>
  <c r="BT272" i="4"/>
  <c r="BT273" i="4"/>
  <c r="BT274" i="4"/>
  <c r="BT275" i="4"/>
  <c r="BT276" i="4"/>
  <c r="BT277" i="4"/>
  <c r="BT278" i="4"/>
  <c r="BT279" i="4"/>
  <c r="BT280" i="4"/>
  <c r="BT281" i="4"/>
  <c r="BT282" i="4"/>
  <c r="BT283" i="4"/>
  <c r="BT284" i="4"/>
  <c r="BT285" i="4"/>
  <c r="BT286" i="4"/>
  <c r="BT287" i="4"/>
  <c r="BT288" i="4"/>
  <c r="BT289" i="4"/>
  <c r="BT290" i="4"/>
  <c r="BT291" i="4"/>
  <c r="BT292" i="4"/>
  <c r="BT293" i="4"/>
  <c r="BT294" i="4"/>
  <c r="BT295" i="4"/>
  <c r="BT296" i="4"/>
  <c r="BT297" i="4"/>
  <c r="BT298" i="4"/>
  <c r="BT299" i="4"/>
  <c r="BT300" i="4"/>
  <c r="BT301" i="4"/>
  <c r="BT302" i="4"/>
  <c r="BT303" i="4"/>
  <c r="BT304" i="4"/>
  <c r="BT305" i="4"/>
  <c r="BT306" i="4"/>
  <c r="BT307" i="4"/>
  <c r="BT308" i="4"/>
  <c r="BT309" i="4"/>
  <c r="BT310" i="4"/>
  <c r="BT311" i="4"/>
  <c r="BT312" i="4"/>
  <c r="BT313" i="4"/>
  <c r="BT314" i="4"/>
  <c r="BT315" i="4"/>
  <c r="BT316" i="4"/>
  <c r="BT317" i="4"/>
  <c r="BT318" i="4"/>
  <c r="BT319" i="4"/>
  <c r="BT320" i="4"/>
  <c r="BT321" i="4"/>
  <c r="BT322" i="4"/>
  <c r="BT323" i="4"/>
  <c r="BT324" i="4"/>
  <c r="BT325" i="4"/>
  <c r="BT326" i="4"/>
  <c r="BT327" i="4"/>
  <c r="BT328" i="4"/>
  <c r="BT329" i="4"/>
  <c r="BT330" i="4"/>
  <c r="BT331" i="4"/>
  <c r="BT332" i="4"/>
  <c r="BT333" i="4"/>
  <c r="BT334" i="4"/>
  <c r="BT335" i="4"/>
  <c r="BT336" i="4"/>
  <c r="BT337" i="4"/>
  <c r="BT338" i="4"/>
  <c r="BT339" i="4"/>
  <c r="BT340" i="4"/>
  <c r="BT341" i="4"/>
  <c r="BT342" i="4"/>
  <c r="BT343" i="4"/>
  <c r="BT344" i="4"/>
  <c r="BT345" i="4"/>
  <c r="BT346" i="4"/>
  <c r="BT347" i="4"/>
  <c r="BT348" i="4"/>
  <c r="BT349" i="4"/>
  <c r="BT350" i="4"/>
  <c r="BT351" i="4"/>
  <c r="BT352" i="4"/>
  <c r="BT353" i="4"/>
  <c r="BT354" i="4"/>
  <c r="BT355" i="4"/>
  <c r="BT356" i="4"/>
  <c r="BT357" i="4"/>
  <c r="BT358" i="4"/>
  <c r="BT359" i="4"/>
  <c r="BT360" i="4"/>
  <c r="BT361" i="4"/>
  <c r="BT362" i="4"/>
  <c r="BT363" i="4"/>
  <c r="BT364" i="4"/>
  <c r="BT365" i="4"/>
  <c r="BT366" i="4"/>
  <c r="BT367" i="4"/>
  <c r="BT368" i="4"/>
  <c r="BT369" i="4"/>
  <c r="BT370" i="4"/>
  <c r="BT371" i="4"/>
  <c r="BT372" i="4"/>
  <c r="BT373" i="4"/>
  <c r="BT374" i="4"/>
  <c r="BT375" i="4"/>
  <c r="BT376" i="4"/>
  <c r="BT377" i="4"/>
  <c r="BT378" i="4"/>
  <c r="BT379" i="4"/>
  <c r="BT380" i="4"/>
  <c r="BT381" i="4"/>
  <c r="BT382" i="4"/>
  <c r="BT383" i="4"/>
  <c r="BT384" i="4"/>
  <c r="BT385" i="4"/>
  <c r="BT386" i="4"/>
  <c r="BT387" i="4"/>
  <c r="BT388" i="4"/>
  <c r="BT389" i="4"/>
  <c r="BT390" i="4"/>
  <c r="BT391" i="4"/>
  <c r="BT392" i="4"/>
  <c r="BT393" i="4"/>
  <c r="BT394" i="4"/>
  <c r="BT395" i="4"/>
  <c r="BT396" i="4"/>
  <c r="BT397" i="4"/>
  <c r="BT398" i="4"/>
  <c r="BT399" i="4"/>
  <c r="BT400" i="4"/>
  <c r="BT401" i="4"/>
  <c r="BT402" i="4"/>
  <c r="BT403" i="4"/>
  <c r="BT404" i="4"/>
  <c r="BT405" i="4"/>
  <c r="BT406" i="4"/>
  <c r="BT407" i="4"/>
  <c r="BT408" i="4"/>
  <c r="BT409" i="4"/>
  <c r="BT410" i="4"/>
  <c r="BT411" i="4"/>
  <c r="BT412" i="4"/>
  <c r="BT413" i="4"/>
  <c r="BT414" i="4"/>
  <c r="BT415" i="4"/>
  <c r="BT416" i="4"/>
  <c r="BT417" i="4"/>
  <c r="BT418" i="4"/>
  <c r="BT419" i="4"/>
  <c r="BT420" i="4"/>
  <c r="BT421" i="4"/>
  <c r="BT422" i="4"/>
  <c r="BT423" i="4"/>
  <c r="BT424" i="4"/>
  <c r="BT425" i="4"/>
  <c r="BT426" i="4"/>
  <c r="BT427" i="4"/>
  <c r="BT428" i="4"/>
  <c r="BT429" i="4"/>
  <c r="BT430" i="4"/>
  <c r="BT431" i="4"/>
  <c r="BT432" i="4"/>
  <c r="BT433" i="4"/>
  <c r="BT434" i="4"/>
  <c r="BT435" i="4"/>
  <c r="BT436" i="4"/>
  <c r="BT437" i="4"/>
  <c r="BT438" i="4"/>
  <c r="BT439" i="4"/>
  <c r="BT440" i="4"/>
  <c r="BT441" i="4"/>
  <c r="BT442" i="4"/>
  <c r="BT443" i="4"/>
  <c r="BT444" i="4"/>
  <c r="BT445" i="4"/>
  <c r="BT446" i="4"/>
  <c r="BT447" i="4"/>
  <c r="BT448" i="4"/>
  <c r="BT449" i="4"/>
  <c r="BT450" i="4"/>
  <c r="BT451" i="4"/>
  <c r="BT452" i="4"/>
  <c r="BT453" i="4"/>
  <c r="BT454" i="4"/>
  <c r="BT455" i="4"/>
  <c r="BT456" i="4"/>
  <c r="BT457" i="4"/>
  <c r="BT458" i="4"/>
  <c r="BT459" i="4"/>
  <c r="BT460" i="4"/>
  <c r="BT461" i="4"/>
  <c r="BT462" i="4"/>
  <c r="BT463" i="4"/>
  <c r="BT464" i="4"/>
  <c r="BT465" i="4"/>
  <c r="BT466" i="4"/>
  <c r="BT467" i="4"/>
  <c r="BT468" i="4"/>
  <c r="BT469" i="4"/>
  <c r="BT470" i="4"/>
  <c r="BT471" i="4"/>
  <c r="BT472" i="4"/>
  <c r="BT473" i="4"/>
  <c r="BT474" i="4"/>
  <c r="BT475" i="4"/>
  <c r="BT476" i="4"/>
  <c r="BT477" i="4"/>
  <c r="BT478" i="4"/>
  <c r="BT479" i="4"/>
  <c r="BT480" i="4"/>
  <c r="BT481" i="4"/>
  <c r="BT482" i="4"/>
  <c r="BT483" i="4"/>
  <c r="BT484" i="4"/>
  <c r="BT485" i="4"/>
  <c r="BT486" i="4"/>
  <c r="BT487" i="4"/>
  <c r="BT488" i="4"/>
  <c r="BT489" i="4"/>
  <c r="BT490" i="4"/>
  <c r="BT491" i="4"/>
  <c r="BT492" i="4"/>
  <c r="BT493" i="4"/>
  <c r="BT494" i="4"/>
  <c r="BT495" i="4"/>
  <c r="BT496" i="4"/>
  <c r="BT497" i="4"/>
  <c r="BT498" i="4"/>
  <c r="BT499" i="4"/>
  <c r="BT500" i="4"/>
  <c r="BT501" i="4"/>
  <c r="BT502" i="4"/>
  <c r="BT503" i="4"/>
  <c r="BT504" i="4"/>
  <c r="BT505" i="4"/>
  <c r="BT506" i="4"/>
  <c r="BT507" i="4"/>
  <c r="BT508" i="4"/>
  <c r="BT509" i="4"/>
  <c r="BT510" i="4"/>
  <c r="BT511" i="4"/>
  <c r="BT512" i="4"/>
  <c r="BT513" i="4"/>
  <c r="BT514" i="4"/>
  <c r="BT515" i="4"/>
  <c r="BT516" i="4"/>
  <c r="BT517" i="4"/>
  <c r="BT518" i="4"/>
  <c r="BT519" i="4"/>
  <c r="BT520" i="4"/>
  <c r="BT521" i="4"/>
  <c r="BT522" i="4"/>
  <c r="BT523" i="4"/>
  <c r="BT524" i="4"/>
  <c r="BT525" i="4"/>
  <c r="BT526" i="4"/>
  <c r="BT527" i="4"/>
  <c r="BT528" i="4"/>
  <c r="BT529" i="4"/>
  <c r="BT530" i="4"/>
  <c r="BT531" i="4"/>
  <c r="BT532" i="4"/>
  <c r="BT533" i="4"/>
  <c r="BT534" i="4"/>
  <c r="BT535" i="4"/>
  <c r="BT536" i="4"/>
  <c r="BT537" i="4"/>
  <c r="BT538" i="4"/>
  <c r="BT539" i="4"/>
  <c r="BT540" i="4"/>
  <c r="BT541" i="4"/>
  <c r="BT542" i="4"/>
  <c r="BT543" i="4"/>
  <c r="BT544" i="4"/>
  <c r="BT545" i="4"/>
  <c r="BT546" i="4"/>
  <c r="BT547" i="4"/>
  <c r="BT548" i="4"/>
  <c r="BT549" i="4"/>
  <c r="BT550" i="4"/>
  <c r="BT551" i="4"/>
  <c r="BT552" i="4"/>
  <c r="BT553" i="4"/>
  <c r="BT554" i="4"/>
  <c r="BT555" i="4"/>
  <c r="BT556" i="4"/>
  <c r="BT557" i="4"/>
  <c r="BT558" i="4"/>
  <c r="BT559" i="4"/>
  <c r="BT560" i="4"/>
  <c r="BT561" i="4"/>
  <c r="BT562" i="4"/>
  <c r="BT563" i="4"/>
  <c r="BT564" i="4"/>
  <c r="BT565" i="4"/>
  <c r="BT566" i="4"/>
  <c r="BT567" i="4"/>
  <c r="BT568" i="4"/>
  <c r="BT569" i="4"/>
  <c r="BT570" i="4"/>
  <c r="BT571" i="4"/>
  <c r="BT572" i="4"/>
  <c r="BT573" i="4"/>
  <c r="BT574" i="4"/>
  <c r="BT575" i="4"/>
  <c r="BT576" i="4"/>
  <c r="BT577" i="4"/>
  <c r="BT578" i="4"/>
  <c r="BT579" i="4"/>
  <c r="BT580" i="4"/>
  <c r="BT581" i="4"/>
  <c r="BT582" i="4"/>
  <c r="BT583" i="4"/>
  <c r="BT584" i="4"/>
  <c r="BT585" i="4"/>
  <c r="BT586" i="4"/>
  <c r="BT587" i="4"/>
  <c r="BT588" i="4"/>
  <c r="BT589" i="4"/>
  <c r="BT590" i="4"/>
  <c r="BT591" i="4"/>
  <c r="BT592" i="4"/>
  <c r="BT593" i="4"/>
  <c r="BT594" i="4"/>
  <c r="BT595" i="4"/>
  <c r="BT596" i="4"/>
  <c r="BT597" i="4"/>
  <c r="BT598" i="4"/>
  <c r="BT599" i="4"/>
  <c r="BT600" i="4"/>
  <c r="BT601" i="4"/>
  <c r="BT602" i="4"/>
  <c r="BT603" i="4"/>
  <c r="BT604" i="4"/>
  <c r="BT605" i="4"/>
  <c r="BT606" i="4"/>
  <c r="BT607" i="4"/>
  <c r="BT608" i="4"/>
  <c r="BT609" i="4"/>
  <c r="BT610" i="4"/>
  <c r="BT611" i="4"/>
  <c r="BT612" i="4"/>
  <c r="BT613" i="4"/>
  <c r="BT614" i="4"/>
  <c r="BT615" i="4"/>
  <c r="BT616" i="4"/>
  <c r="BT617" i="4"/>
  <c r="BT618" i="4"/>
  <c r="BT619" i="4"/>
  <c r="BT620" i="4"/>
  <c r="BT621" i="4"/>
  <c r="BT622" i="4"/>
  <c r="BT623" i="4"/>
  <c r="BT624" i="4"/>
  <c r="BT625" i="4"/>
  <c r="BT626" i="4"/>
  <c r="BT627" i="4"/>
  <c r="BT628" i="4"/>
  <c r="BT629" i="4"/>
  <c r="BT630" i="4"/>
  <c r="BT631" i="4"/>
  <c r="BT632" i="4"/>
  <c r="BT633" i="4"/>
  <c r="BT634" i="4"/>
  <c r="BT635" i="4"/>
  <c r="BT636" i="4"/>
  <c r="BT637" i="4"/>
  <c r="BT638" i="4"/>
  <c r="BT639" i="4"/>
  <c r="BT640" i="4"/>
  <c r="BT641" i="4"/>
  <c r="BT642" i="4"/>
  <c r="BT643" i="4"/>
  <c r="BT644" i="4"/>
  <c r="BT645" i="4"/>
  <c r="BT646" i="4"/>
  <c r="BT647" i="4"/>
  <c r="BT648" i="4"/>
  <c r="BT649" i="4"/>
  <c r="BT650" i="4"/>
  <c r="BT651" i="4"/>
  <c r="BT652" i="4"/>
  <c r="BT653" i="4"/>
  <c r="BT654" i="4"/>
  <c r="BT655" i="4"/>
  <c r="BT656" i="4"/>
  <c r="BT657" i="4"/>
  <c r="BT658" i="4"/>
  <c r="BT659" i="4"/>
  <c r="BT660" i="4"/>
  <c r="BT661" i="4"/>
  <c r="BT662" i="4"/>
  <c r="BT663" i="4"/>
  <c r="BT664" i="4"/>
  <c r="BT665" i="4"/>
  <c r="BT666" i="4"/>
  <c r="BT667" i="4"/>
  <c r="BT668" i="4"/>
  <c r="BT669" i="4"/>
  <c r="BT670" i="4"/>
  <c r="BT671" i="4"/>
  <c r="BT672" i="4"/>
  <c r="BT673" i="4"/>
  <c r="BT674" i="4"/>
  <c r="BT675" i="4"/>
  <c r="BT676" i="4"/>
  <c r="BT677" i="4"/>
  <c r="BT678" i="4"/>
  <c r="BT679" i="4"/>
  <c r="BT680" i="4"/>
  <c r="BT681" i="4"/>
  <c r="BT682" i="4"/>
  <c r="BT683" i="4"/>
  <c r="BT684" i="4"/>
  <c r="BT685" i="4"/>
  <c r="BT686" i="4"/>
  <c r="BT687" i="4"/>
  <c r="BT688" i="4"/>
  <c r="BT689" i="4"/>
  <c r="BT690" i="4"/>
  <c r="BT691" i="4"/>
  <c r="BT692" i="4"/>
  <c r="BT693" i="4"/>
  <c r="BT694" i="4"/>
  <c r="BT695" i="4"/>
  <c r="BT696" i="4"/>
  <c r="BU2" i="4"/>
  <c r="BU3" i="4"/>
  <c r="BU4" i="4"/>
  <c r="BU5" i="4"/>
  <c r="BU6" i="4"/>
  <c r="BU7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98" i="4"/>
  <c r="BU99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U113" i="4"/>
  <c r="BU114" i="4"/>
  <c r="BU115" i="4"/>
  <c r="BU116" i="4"/>
  <c r="BU117" i="4"/>
  <c r="BU118" i="4"/>
  <c r="BU119" i="4"/>
  <c r="BU120" i="4"/>
  <c r="BU121" i="4"/>
  <c r="BU122" i="4"/>
  <c r="BU123" i="4"/>
  <c r="BU124" i="4"/>
  <c r="BU125" i="4"/>
  <c r="BU126" i="4"/>
  <c r="BU127" i="4"/>
  <c r="BU128" i="4"/>
  <c r="BU129" i="4"/>
  <c r="BU130" i="4"/>
  <c r="BU131" i="4"/>
  <c r="BU132" i="4"/>
  <c r="BU133" i="4"/>
  <c r="BU134" i="4"/>
  <c r="BU135" i="4"/>
  <c r="BU136" i="4"/>
  <c r="BU137" i="4"/>
  <c r="BU138" i="4"/>
  <c r="BU139" i="4"/>
  <c r="BU140" i="4"/>
  <c r="BU141" i="4"/>
  <c r="BU142" i="4"/>
  <c r="BU143" i="4"/>
  <c r="BU144" i="4"/>
  <c r="BU145" i="4"/>
  <c r="BU146" i="4"/>
  <c r="BU147" i="4"/>
  <c r="BU148" i="4"/>
  <c r="BU149" i="4"/>
  <c r="BU150" i="4"/>
  <c r="BU151" i="4"/>
  <c r="BU152" i="4"/>
  <c r="BU153" i="4"/>
  <c r="BU154" i="4"/>
  <c r="BU155" i="4"/>
  <c r="BU156" i="4"/>
  <c r="BU157" i="4"/>
  <c r="BU158" i="4"/>
  <c r="BU159" i="4"/>
  <c r="BU160" i="4"/>
  <c r="BU161" i="4"/>
  <c r="BU162" i="4"/>
  <c r="BU163" i="4"/>
  <c r="BU164" i="4"/>
  <c r="BU165" i="4"/>
  <c r="BU166" i="4"/>
  <c r="BU167" i="4"/>
  <c r="BU168" i="4"/>
  <c r="BU169" i="4"/>
  <c r="BU170" i="4"/>
  <c r="BU171" i="4"/>
  <c r="BU172" i="4"/>
  <c r="BU173" i="4"/>
  <c r="BU174" i="4"/>
  <c r="BU175" i="4"/>
  <c r="BU176" i="4"/>
  <c r="BU177" i="4"/>
  <c r="BU178" i="4"/>
  <c r="BU179" i="4"/>
  <c r="BU180" i="4"/>
  <c r="BU181" i="4"/>
  <c r="BU182" i="4"/>
  <c r="BU183" i="4"/>
  <c r="BU184" i="4"/>
  <c r="BU185" i="4"/>
  <c r="BU186" i="4"/>
  <c r="BU187" i="4"/>
  <c r="BU188" i="4"/>
  <c r="BU189" i="4"/>
  <c r="BU190" i="4"/>
  <c r="BU191" i="4"/>
  <c r="BU192" i="4"/>
  <c r="BU193" i="4"/>
  <c r="BU194" i="4"/>
  <c r="BU195" i="4"/>
  <c r="BU196" i="4"/>
  <c r="BU197" i="4"/>
  <c r="BU198" i="4"/>
  <c r="BU199" i="4"/>
  <c r="BU200" i="4"/>
  <c r="BU201" i="4"/>
  <c r="BU202" i="4"/>
  <c r="BU203" i="4"/>
  <c r="BU204" i="4"/>
  <c r="BU205" i="4"/>
  <c r="BU206" i="4"/>
  <c r="BU207" i="4"/>
  <c r="BU208" i="4"/>
  <c r="BU209" i="4"/>
  <c r="BU210" i="4"/>
  <c r="BU211" i="4"/>
  <c r="BU212" i="4"/>
  <c r="BU213" i="4"/>
  <c r="BU214" i="4"/>
  <c r="BU215" i="4"/>
  <c r="BU216" i="4"/>
  <c r="BU217" i="4"/>
  <c r="BU218" i="4"/>
  <c r="BU219" i="4"/>
  <c r="BU220" i="4"/>
  <c r="BU221" i="4"/>
  <c r="BU222" i="4"/>
  <c r="BU223" i="4"/>
  <c r="BU224" i="4"/>
  <c r="BU225" i="4"/>
  <c r="BU226" i="4"/>
  <c r="BU227" i="4"/>
  <c r="BU228" i="4"/>
  <c r="BU229" i="4"/>
  <c r="BU230" i="4"/>
  <c r="BU231" i="4"/>
  <c r="BU232" i="4"/>
  <c r="BU233" i="4"/>
  <c r="BU234" i="4"/>
  <c r="BU235" i="4"/>
  <c r="BU236" i="4"/>
  <c r="BU237" i="4"/>
  <c r="BU238" i="4"/>
  <c r="BU239" i="4"/>
  <c r="BU240" i="4"/>
  <c r="BU241" i="4"/>
  <c r="BU242" i="4"/>
  <c r="BU243" i="4"/>
  <c r="BU244" i="4"/>
  <c r="BU245" i="4"/>
  <c r="BU246" i="4"/>
  <c r="BU247" i="4"/>
  <c r="BU248" i="4"/>
  <c r="BU249" i="4"/>
  <c r="BU250" i="4"/>
  <c r="BU251" i="4"/>
  <c r="BU252" i="4"/>
  <c r="BU253" i="4"/>
  <c r="BU254" i="4"/>
  <c r="BU255" i="4"/>
  <c r="BU256" i="4"/>
  <c r="BU257" i="4"/>
  <c r="BU258" i="4"/>
  <c r="BU259" i="4"/>
  <c r="BU260" i="4"/>
  <c r="BU261" i="4"/>
  <c r="BU262" i="4"/>
  <c r="BU263" i="4"/>
  <c r="BU264" i="4"/>
  <c r="BU265" i="4"/>
  <c r="BU266" i="4"/>
  <c r="BU267" i="4"/>
  <c r="BU268" i="4"/>
  <c r="BU269" i="4"/>
  <c r="BU270" i="4"/>
  <c r="BU271" i="4"/>
  <c r="BU272" i="4"/>
  <c r="BU273" i="4"/>
  <c r="BU274" i="4"/>
  <c r="BU275" i="4"/>
  <c r="BU276" i="4"/>
  <c r="BU277" i="4"/>
  <c r="BU278" i="4"/>
  <c r="BU279" i="4"/>
  <c r="BU280" i="4"/>
  <c r="BU281" i="4"/>
  <c r="BU282" i="4"/>
  <c r="BU283" i="4"/>
  <c r="BU284" i="4"/>
  <c r="BU285" i="4"/>
  <c r="BU286" i="4"/>
  <c r="BU287" i="4"/>
  <c r="BU288" i="4"/>
  <c r="BU289" i="4"/>
  <c r="BU290" i="4"/>
  <c r="BU291" i="4"/>
  <c r="BU292" i="4"/>
  <c r="BU293" i="4"/>
  <c r="BU294" i="4"/>
  <c r="BU295" i="4"/>
  <c r="BU296" i="4"/>
  <c r="BU297" i="4"/>
  <c r="BU298" i="4"/>
  <c r="BU299" i="4"/>
  <c r="BU300" i="4"/>
  <c r="BU301" i="4"/>
  <c r="BU302" i="4"/>
  <c r="BU303" i="4"/>
  <c r="BU304" i="4"/>
  <c r="BU305" i="4"/>
  <c r="BU306" i="4"/>
  <c r="BU307" i="4"/>
  <c r="BU308" i="4"/>
  <c r="BU309" i="4"/>
  <c r="BU310" i="4"/>
  <c r="BU311" i="4"/>
  <c r="BU312" i="4"/>
  <c r="BU313" i="4"/>
  <c r="BU314" i="4"/>
  <c r="BU315" i="4"/>
  <c r="BU316" i="4"/>
  <c r="BU317" i="4"/>
  <c r="BU318" i="4"/>
  <c r="BU319" i="4"/>
  <c r="BU320" i="4"/>
  <c r="BU321" i="4"/>
  <c r="BU322" i="4"/>
  <c r="BU323" i="4"/>
  <c r="BU324" i="4"/>
  <c r="BU325" i="4"/>
  <c r="BU326" i="4"/>
  <c r="BU327" i="4"/>
  <c r="BU328" i="4"/>
  <c r="BU329" i="4"/>
  <c r="BU330" i="4"/>
  <c r="BU331" i="4"/>
  <c r="BU332" i="4"/>
  <c r="BU333" i="4"/>
  <c r="BU334" i="4"/>
  <c r="BU335" i="4"/>
  <c r="BU336" i="4"/>
  <c r="BU337" i="4"/>
  <c r="BU338" i="4"/>
  <c r="BU339" i="4"/>
  <c r="BU340" i="4"/>
  <c r="BU341" i="4"/>
  <c r="BU342" i="4"/>
  <c r="BU343" i="4"/>
  <c r="BU344" i="4"/>
  <c r="BU345" i="4"/>
  <c r="BU346" i="4"/>
  <c r="BU347" i="4"/>
  <c r="BU348" i="4"/>
  <c r="BU349" i="4"/>
  <c r="BU350" i="4"/>
  <c r="BU351" i="4"/>
  <c r="BU352" i="4"/>
  <c r="BU353" i="4"/>
  <c r="BU354" i="4"/>
  <c r="BU355" i="4"/>
  <c r="BU356" i="4"/>
  <c r="BU357" i="4"/>
  <c r="BU358" i="4"/>
  <c r="BU359" i="4"/>
  <c r="BU360" i="4"/>
  <c r="BU361" i="4"/>
  <c r="BU362" i="4"/>
  <c r="BU363" i="4"/>
  <c r="BU364" i="4"/>
  <c r="BU365" i="4"/>
  <c r="BU366" i="4"/>
  <c r="BU367" i="4"/>
  <c r="BU368" i="4"/>
  <c r="BU369" i="4"/>
  <c r="BU370" i="4"/>
  <c r="BU371" i="4"/>
  <c r="BU372" i="4"/>
  <c r="BU373" i="4"/>
  <c r="BU374" i="4"/>
  <c r="BU375" i="4"/>
  <c r="BU376" i="4"/>
  <c r="BU377" i="4"/>
  <c r="BU378" i="4"/>
  <c r="BU379" i="4"/>
  <c r="BU380" i="4"/>
  <c r="BU381" i="4"/>
  <c r="BU382" i="4"/>
  <c r="BU383" i="4"/>
  <c r="BU384" i="4"/>
  <c r="BU385" i="4"/>
  <c r="BU386" i="4"/>
  <c r="BU387" i="4"/>
  <c r="BU388" i="4"/>
  <c r="BU389" i="4"/>
  <c r="BU390" i="4"/>
  <c r="BU391" i="4"/>
  <c r="BU392" i="4"/>
  <c r="BU393" i="4"/>
  <c r="BU394" i="4"/>
  <c r="BU395" i="4"/>
  <c r="BU396" i="4"/>
  <c r="BU397" i="4"/>
  <c r="BU398" i="4"/>
  <c r="BU399" i="4"/>
  <c r="BU400" i="4"/>
  <c r="BU401" i="4"/>
  <c r="BU402" i="4"/>
  <c r="BU403" i="4"/>
  <c r="BU404" i="4"/>
  <c r="BU405" i="4"/>
  <c r="BU406" i="4"/>
  <c r="BU407" i="4"/>
  <c r="BU408" i="4"/>
  <c r="BU409" i="4"/>
  <c r="BU410" i="4"/>
  <c r="BU411" i="4"/>
  <c r="BU412" i="4"/>
  <c r="BU413" i="4"/>
  <c r="BU414" i="4"/>
  <c r="BU415" i="4"/>
  <c r="BU416" i="4"/>
  <c r="BU417" i="4"/>
  <c r="BU418" i="4"/>
  <c r="BU419" i="4"/>
  <c r="BU420" i="4"/>
  <c r="BU421" i="4"/>
  <c r="BU422" i="4"/>
  <c r="BU423" i="4"/>
  <c r="BU424" i="4"/>
  <c r="BU425" i="4"/>
  <c r="BU426" i="4"/>
  <c r="BU427" i="4"/>
  <c r="BU428" i="4"/>
  <c r="BU429" i="4"/>
  <c r="BU430" i="4"/>
  <c r="BU431" i="4"/>
  <c r="BU432" i="4"/>
  <c r="BU433" i="4"/>
  <c r="BU434" i="4"/>
  <c r="BU435" i="4"/>
  <c r="BU436" i="4"/>
  <c r="BU437" i="4"/>
  <c r="BU438" i="4"/>
  <c r="BU439" i="4"/>
  <c r="BU440" i="4"/>
  <c r="BU441" i="4"/>
  <c r="BU442" i="4"/>
  <c r="BU443" i="4"/>
  <c r="BU444" i="4"/>
  <c r="BU445" i="4"/>
  <c r="BU446" i="4"/>
  <c r="BU447" i="4"/>
  <c r="BU448" i="4"/>
  <c r="BU449" i="4"/>
  <c r="BU450" i="4"/>
  <c r="BU451" i="4"/>
  <c r="BU452" i="4"/>
  <c r="BU453" i="4"/>
  <c r="BU454" i="4"/>
  <c r="BU455" i="4"/>
  <c r="BU456" i="4"/>
  <c r="BU457" i="4"/>
  <c r="BU458" i="4"/>
  <c r="BU459" i="4"/>
  <c r="BU460" i="4"/>
  <c r="BU461" i="4"/>
  <c r="BU462" i="4"/>
  <c r="BU463" i="4"/>
  <c r="BU464" i="4"/>
  <c r="BU465" i="4"/>
  <c r="BU466" i="4"/>
  <c r="BU467" i="4"/>
  <c r="BU468" i="4"/>
  <c r="BU469" i="4"/>
  <c r="BU470" i="4"/>
  <c r="BU471" i="4"/>
  <c r="BU472" i="4"/>
  <c r="BU473" i="4"/>
  <c r="BU474" i="4"/>
  <c r="BU475" i="4"/>
  <c r="BU476" i="4"/>
  <c r="BU477" i="4"/>
  <c r="BU478" i="4"/>
  <c r="BU479" i="4"/>
  <c r="BU480" i="4"/>
  <c r="BU481" i="4"/>
  <c r="BU482" i="4"/>
  <c r="BU483" i="4"/>
  <c r="BU484" i="4"/>
  <c r="BU485" i="4"/>
  <c r="BU486" i="4"/>
  <c r="BU487" i="4"/>
  <c r="BU488" i="4"/>
  <c r="BU489" i="4"/>
  <c r="BU490" i="4"/>
  <c r="BU491" i="4"/>
  <c r="BU492" i="4"/>
  <c r="BU493" i="4"/>
  <c r="BU494" i="4"/>
  <c r="BU495" i="4"/>
  <c r="BU496" i="4"/>
  <c r="BU497" i="4"/>
  <c r="BU498" i="4"/>
  <c r="BU499" i="4"/>
  <c r="BU500" i="4"/>
  <c r="BU501" i="4"/>
  <c r="BU502" i="4"/>
  <c r="BU503" i="4"/>
  <c r="BU504" i="4"/>
  <c r="BU505" i="4"/>
  <c r="BU506" i="4"/>
  <c r="BU507" i="4"/>
  <c r="BU508" i="4"/>
  <c r="BU509" i="4"/>
  <c r="BU510" i="4"/>
  <c r="BU511" i="4"/>
  <c r="BU512" i="4"/>
  <c r="BU513" i="4"/>
  <c r="BU514" i="4"/>
  <c r="BU515" i="4"/>
  <c r="BU516" i="4"/>
  <c r="BU517" i="4"/>
  <c r="BU518" i="4"/>
  <c r="BU519" i="4"/>
  <c r="BU520" i="4"/>
  <c r="BU521" i="4"/>
  <c r="BU522" i="4"/>
  <c r="BU523" i="4"/>
  <c r="BU524" i="4"/>
  <c r="BU525" i="4"/>
  <c r="BU526" i="4"/>
  <c r="BU527" i="4"/>
  <c r="BU528" i="4"/>
  <c r="BU529" i="4"/>
  <c r="BU530" i="4"/>
  <c r="BU531" i="4"/>
  <c r="BU532" i="4"/>
  <c r="BU533" i="4"/>
  <c r="BU534" i="4"/>
  <c r="BU535" i="4"/>
  <c r="BU536" i="4"/>
  <c r="BU537" i="4"/>
  <c r="BU538" i="4"/>
  <c r="BU539" i="4"/>
  <c r="BU540" i="4"/>
  <c r="BU541" i="4"/>
  <c r="BU542" i="4"/>
  <c r="BU543" i="4"/>
  <c r="BU544" i="4"/>
  <c r="BU545" i="4"/>
  <c r="BU546" i="4"/>
  <c r="BU547" i="4"/>
  <c r="BU548" i="4"/>
  <c r="BU549" i="4"/>
  <c r="BU550" i="4"/>
  <c r="BU551" i="4"/>
  <c r="BU552" i="4"/>
  <c r="BU553" i="4"/>
  <c r="BU554" i="4"/>
  <c r="BU555" i="4"/>
  <c r="BU556" i="4"/>
  <c r="BU557" i="4"/>
  <c r="BU558" i="4"/>
  <c r="BU559" i="4"/>
  <c r="BU560" i="4"/>
  <c r="BU561" i="4"/>
  <c r="BU562" i="4"/>
  <c r="BU563" i="4"/>
  <c r="BU564" i="4"/>
  <c r="BU565" i="4"/>
  <c r="BU566" i="4"/>
  <c r="BU567" i="4"/>
  <c r="BU568" i="4"/>
  <c r="BU569" i="4"/>
  <c r="BU570" i="4"/>
  <c r="BU571" i="4"/>
  <c r="BU572" i="4"/>
  <c r="BU573" i="4"/>
  <c r="BU574" i="4"/>
  <c r="BU575" i="4"/>
  <c r="BU576" i="4"/>
  <c r="BU577" i="4"/>
  <c r="BU578" i="4"/>
  <c r="BU579" i="4"/>
  <c r="BU580" i="4"/>
  <c r="BU581" i="4"/>
  <c r="BU582" i="4"/>
  <c r="BU583" i="4"/>
  <c r="BU584" i="4"/>
  <c r="BU585" i="4"/>
  <c r="BU586" i="4"/>
  <c r="BU587" i="4"/>
  <c r="BU588" i="4"/>
  <c r="BU589" i="4"/>
  <c r="BU590" i="4"/>
  <c r="BU591" i="4"/>
  <c r="BU592" i="4"/>
  <c r="BU593" i="4"/>
  <c r="BU594" i="4"/>
  <c r="BU595" i="4"/>
  <c r="BU596" i="4"/>
  <c r="BU597" i="4"/>
  <c r="BU598" i="4"/>
  <c r="BU599" i="4"/>
  <c r="BU600" i="4"/>
  <c r="BU601" i="4"/>
  <c r="BU602" i="4"/>
  <c r="BU603" i="4"/>
  <c r="BU604" i="4"/>
  <c r="BU605" i="4"/>
  <c r="BU606" i="4"/>
  <c r="BU607" i="4"/>
  <c r="BU608" i="4"/>
  <c r="BU609" i="4"/>
  <c r="BU610" i="4"/>
  <c r="BU611" i="4"/>
  <c r="BU612" i="4"/>
  <c r="BU613" i="4"/>
  <c r="BU614" i="4"/>
  <c r="BU615" i="4"/>
  <c r="BU616" i="4"/>
  <c r="BU617" i="4"/>
  <c r="BU618" i="4"/>
  <c r="BU619" i="4"/>
  <c r="BU620" i="4"/>
  <c r="BU621" i="4"/>
  <c r="BU622" i="4"/>
  <c r="BU623" i="4"/>
  <c r="BU624" i="4"/>
  <c r="BU625" i="4"/>
  <c r="BU626" i="4"/>
  <c r="BU627" i="4"/>
  <c r="BU628" i="4"/>
  <c r="BU629" i="4"/>
  <c r="BU630" i="4"/>
  <c r="BU631" i="4"/>
  <c r="BU632" i="4"/>
  <c r="BU633" i="4"/>
  <c r="BU634" i="4"/>
  <c r="BU635" i="4"/>
  <c r="BU636" i="4"/>
  <c r="BU637" i="4"/>
  <c r="BU638" i="4"/>
  <c r="BU639" i="4"/>
  <c r="BU640" i="4"/>
  <c r="BU641" i="4"/>
  <c r="BU642" i="4"/>
  <c r="BU643" i="4"/>
  <c r="BU644" i="4"/>
  <c r="BU645" i="4"/>
  <c r="BU646" i="4"/>
  <c r="BU647" i="4"/>
  <c r="BU648" i="4"/>
  <c r="BU649" i="4"/>
  <c r="BU650" i="4"/>
  <c r="BU651" i="4"/>
  <c r="BU652" i="4"/>
  <c r="BU653" i="4"/>
  <c r="BU654" i="4"/>
  <c r="BU655" i="4"/>
  <c r="BU656" i="4"/>
  <c r="BU657" i="4"/>
  <c r="BU658" i="4"/>
  <c r="BU659" i="4"/>
  <c r="BU660" i="4"/>
  <c r="BU661" i="4"/>
  <c r="BU662" i="4"/>
  <c r="BU663" i="4"/>
  <c r="BU664" i="4"/>
  <c r="BU665" i="4"/>
  <c r="BU666" i="4"/>
  <c r="BU667" i="4"/>
  <c r="BU668" i="4"/>
  <c r="BU669" i="4"/>
  <c r="BU670" i="4"/>
  <c r="BU671" i="4"/>
  <c r="BU672" i="4"/>
  <c r="BU673" i="4"/>
  <c r="BU674" i="4"/>
  <c r="BU675" i="4"/>
  <c r="BU676" i="4"/>
  <c r="BU677" i="4"/>
  <c r="BU678" i="4"/>
  <c r="BU679" i="4"/>
  <c r="BU680" i="4"/>
  <c r="BU681" i="4"/>
  <c r="BU682" i="4"/>
  <c r="BU683" i="4"/>
  <c r="BU684" i="4"/>
  <c r="BU685" i="4"/>
  <c r="BU686" i="4"/>
  <c r="BU687" i="4"/>
  <c r="BU688" i="4"/>
  <c r="BU689" i="4"/>
  <c r="BU690" i="4"/>
  <c r="BU691" i="4"/>
  <c r="BU692" i="4"/>
  <c r="BU693" i="4"/>
  <c r="BU694" i="4"/>
  <c r="BU695" i="4"/>
  <c r="BU696" i="4"/>
  <c r="BS2" i="4"/>
  <c r="BS3" i="4"/>
  <c r="BS4" i="4"/>
  <c r="BS5" i="4"/>
  <c r="BS6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S92" i="4"/>
  <c r="BS93" i="4"/>
  <c r="BS94" i="4"/>
  <c r="BS95" i="4"/>
  <c r="BS96" i="4"/>
  <c r="BS97" i="4"/>
  <c r="BS98" i="4"/>
  <c r="BS99" i="4"/>
  <c r="BS100" i="4"/>
  <c r="BS101" i="4"/>
  <c r="BS102" i="4"/>
  <c r="BS103" i="4"/>
  <c r="BS104" i="4"/>
  <c r="BS105" i="4"/>
  <c r="BS106" i="4"/>
  <c r="BS107" i="4"/>
  <c r="BS108" i="4"/>
  <c r="BS109" i="4"/>
  <c r="BS110" i="4"/>
  <c r="BS111" i="4"/>
  <c r="BS112" i="4"/>
  <c r="BS113" i="4"/>
  <c r="BS114" i="4"/>
  <c r="BS115" i="4"/>
  <c r="BS116" i="4"/>
  <c r="BS117" i="4"/>
  <c r="BS118" i="4"/>
  <c r="BS119" i="4"/>
  <c r="BS120" i="4"/>
  <c r="BS121" i="4"/>
  <c r="BS122" i="4"/>
  <c r="BS123" i="4"/>
  <c r="BS124" i="4"/>
  <c r="BS125" i="4"/>
  <c r="BS126" i="4"/>
  <c r="BS127" i="4"/>
  <c r="BS128" i="4"/>
  <c r="BS129" i="4"/>
  <c r="BS130" i="4"/>
  <c r="BS131" i="4"/>
  <c r="BS132" i="4"/>
  <c r="BS133" i="4"/>
  <c r="BS134" i="4"/>
  <c r="BS135" i="4"/>
  <c r="BS136" i="4"/>
  <c r="BS137" i="4"/>
  <c r="BS138" i="4"/>
  <c r="BS139" i="4"/>
  <c r="BS140" i="4"/>
  <c r="BS141" i="4"/>
  <c r="BS142" i="4"/>
  <c r="BS143" i="4"/>
  <c r="BS144" i="4"/>
  <c r="BS145" i="4"/>
  <c r="BS146" i="4"/>
  <c r="BS147" i="4"/>
  <c r="BS148" i="4"/>
  <c r="BS149" i="4"/>
  <c r="BS150" i="4"/>
  <c r="BS151" i="4"/>
  <c r="BS152" i="4"/>
  <c r="BS153" i="4"/>
  <c r="BS154" i="4"/>
  <c r="BS155" i="4"/>
  <c r="BS156" i="4"/>
  <c r="BS157" i="4"/>
  <c r="BS158" i="4"/>
  <c r="BS159" i="4"/>
  <c r="BS160" i="4"/>
  <c r="BS161" i="4"/>
  <c r="BS162" i="4"/>
  <c r="BS163" i="4"/>
  <c r="BS164" i="4"/>
  <c r="BS165" i="4"/>
  <c r="BS166" i="4"/>
  <c r="BS167" i="4"/>
  <c r="BS168" i="4"/>
  <c r="BS169" i="4"/>
  <c r="BS170" i="4"/>
  <c r="BS171" i="4"/>
  <c r="BS172" i="4"/>
  <c r="BS173" i="4"/>
  <c r="BS174" i="4"/>
  <c r="BS175" i="4"/>
  <c r="BS176" i="4"/>
  <c r="BS177" i="4"/>
  <c r="BS178" i="4"/>
  <c r="BS179" i="4"/>
  <c r="BS180" i="4"/>
  <c r="BS181" i="4"/>
  <c r="BS182" i="4"/>
  <c r="BS183" i="4"/>
  <c r="BS184" i="4"/>
  <c r="BS185" i="4"/>
  <c r="BS186" i="4"/>
  <c r="BS187" i="4"/>
  <c r="BS188" i="4"/>
  <c r="BS189" i="4"/>
  <c r="BS190" i="4"/>
  <c r="BS191" i="4"/>
  <c r="BS192" i="4"/>
  <c r="BS193" i="4"/>
  <c r="BS194" i="4"/>
  <c r="BS195" i="4"/>
  <c r="BS196" i="4"/>
  <c r="BS197" i="4"/>
  <c r="BS198" i="4"/>
  <c r="BS199" i="4"/>
  <c r="BS200" i="4"/>
  <c r="BS201" i="4"/>
  <c r="BS202" i="4"/>
  <c r="BS203" i="4"/>
  <c r="BS204" i="4"/>
  <c r="BS205" i="4"/>
  <c r="BS206" i="4"/>
  <c r="BS207" i="4"/>
  <c r="BS208" i="4"/>
  <c r="BS209" i="4"/>
  <c r="BS210" i="4"/>
  <c r="BS211" i="4"/>
  <c r="BS212" i="4"/>
  <c r="BS213" i="4"/>
  <c r="BS214" i="4"/>
  <c r="BS215" i="4"/>
  <c r="BS216" i="4"/>
  <c r="BS217" i="4"/>
  <c r="BS218" i="4"/>
  <c r="BS219" i="4"/>
  <c r="BS220" i="4"/>
  <c r="BS221" i="4"/>
  <c r="BS222" i="4"/>
  <c r="BS223" i="4"/>
  <c r="BS224" i="4"/>
  <c r="BS225" i="4"/>
  <c r="BS226" i="4"/>
  <c r="BS227" i="4"/>
  <c r="BS228" i="4"/>
  <c r="BS229" i="4"/>
  <c r="BS230" i="4"/>
  <c r="BS231" i="4"/>
  <c r="BS232" i="4"/>
  <c r="BS233" i="4"/>
  <c r="BS234" i="4"/>
  <c r="BS235" i="4"/>
  <c r="BS236" i="4"/>
  <c r="BS237" i="4"/>
  <c r="BS238" i="4"/>
  <c r="BS239" i="4"/>
  <c r="BS240" i="4"/>
  <c r="BS241" i="4"/>
  <c r="BS242" i="4"/>
  <c r="BS243" i="4"/>
  <c r="BS244" i="4"/>
  <c r="BS245" i="4"/>
  <c r="BS246" i="4"/>
  <c r="BS247" i="4"/>
  <c r="BS248" i="4"/>
  <c r="BS249" i="4"/>
  <c r="BS250" i="4"/>
  <c r="BS251" i="4"/>
  <c r="BS252" i="4"/>
  <c r="BS253" i="4"/>
  <c r="BS254" i="4"/>
  <c r="BS255" i="4"/>
  <c r="BS256" i="4"/>
  <c r="BS257" i="4"/>
  <c r="BS258" i="4"/>
  <c r="BS259" i="4"/>
  <c r="BS260" i="4"/>
  <c r="BS261" i="4"/>
  <c r="BS262" i="4"/>
  <c r="BS263" i="4"/>
  <c r="BS264" i="4"/>
  <c r="BS265" i="4"/>
  <c r="BS266" i="4"/>
  <c r="BS267" i="4"/>
  <c r="BS268" i="4"/>
  <c r="BS269" i="4"/>
  <c r="BS270" i="4"/>
  <c r="BS271" i="4"/>
  <c r="BS272" i="4"/>
  <c r="BS273" i="4"/>
  <c r="BS274" i="4"/>
  <c r="BS275" i="4"/>
  <c r="BS276" i="4"/>
  <c r="BS277" i="4"/>
  <c r="BS278" i="4"/>
  <c r="BS279" i="4"/>
  <c r="BS280" i="4"/>
  <c r="BS281" i="4"/>
  <c r="BS282" i="4"/>
  <c r="BS283" i="4"/>
  <c r="BS284" i="4"/>
  <c r="BS285" i="4"/>
  <c r="BS286" i="4"/>
  <c r="BS287" i="4"/>
  <c r="BS288" i="4"/>
  <c r="BS289" i="4"/>
  <c r="BS290" i="4"/>
  <c r="BS291" i="4"/>
  <c r="BS292" i="4"/>
  <c r="BS293" i="4"/>
  <c r="BS294" i="4"/>
  <c r="BS295" i="4"/>
  <c r="BS296" i="4"/>
  <c r="BS297" i="4"/>
  <c r="BS298" i="4"/>
  <c r="BS299" i="4"/>
  <c r="BS300" i="4"/>
  <c r="BS301" i="4"/>
  <c r="BS302" i="4"/>
  <c r="BS303" i="4"/>
  <c r="BS304" i="4"/>
  <c r="BS305" i="4"/>
  <c r="BS306" i="4"/>
  <c r="BS307" i="4"/>
  <c r="BS308" i="4"/>
  <c r="BS309" i="4"/>
  <c r="BS310" i="4"/>
  <c r="BS311" i="4"/>
  <c r="BS312" i="4"/>
  <c r="BS313" i="4"/>
  <c r="BS314" i="4"/>
  <c r="BS315" i="4"/>
  <c r="BS316" i="4"/>
  <c r="BS317" i="4"/>
  <c r="BS318" i="4"/>
  <c r="BS319" i="4"/>
  <c r="BS320" i="4"/>
  <c r="BS321" i="4"/>
  <c r="BS322" i="4"/>
  <c r="BS323" i="4"/>
  <c r="BS324" i="4"/>
  <c r="BS325" i="4"/>
  <c r="BS326" i="4"/>
  <c r="BS327" i="4"/>
  <c r="BS328" i="4"/>
  <c r="BS329" i="4"/>
  <c r="BS330" i="4"/>
  <c r="BS331" i="4"/>
  <c r="BS332" i="4"/>
  <c r="BS333" i="4"/>
  <c r="BS334" i="4"/>
  <c r="BS335" i="4"/>
  <c r="BS336" i="4"/>
  <c r="BS337" i="4"/>
  <c r="BS338" i="4"/>
  <c r="BS339" i="4"/>
  <c r="BS340" i="4"/>
  <c r="BS341" i="4"/>
  <c r="BS342" i="4"/>
  <c r="BS343" i="4"/>
  <c r="BS344" i="4"/>
  <c r="BS345" i="4"/>
  <c r="BS346" i="4"/>
  <c r="BS347" i="4"/>
  <c r="BS348" i="4"/>
  <c r="BS349" i="4"/>
  <c r="BS350" i="4"/>
  <c r="BS351" i="4"/>
  <c r="BS352" i="4"/>
  <c r="BS353" i="4"/>
  <c r="BS354" i="4"/>
  <c r="BS355" i="4"/>
  <c r="BS356" i="4"/>
  <c r="BS357" i="4"/>
  <c r="BS358" i="4"/>
  <c r="BS359" i="4"/>
  <c r="BS360" i="4"/>
  <c r="BS361" i="4"/>
  <c r="BS362" i="4"/>
  <c r="BS363" i="4"/>
  <c r="BS364" i="4"/>
  <c r="BS365" i="4"/>
  <c r="BS366" i="4"/>
  <c r="BS367" i="4"/>
  <c r="BS368" i="4"/>
  <c r="BS369" i="4"/>
  <c r="BS370" i="4"/>
  <c r="BS371" i="4"/>
  <c r="BS372" i="4"/>
  <c r="BS373" i="4"/>
  <c r="BS374" i="4"/>
  <c r="BS375" i="4"/>
  <c r="BS376" i="4"/>
  <c r="BS377" i="4"/>
  <c r="BS378" i="4"/>
  <c r="BS379" i="4"/>
  <c r="BS380" i="4"/>
  <c r="BS381" i="4"/>
  <c r="BS382" i="4"/>
  <c r="BS383" i="4"/>
  <c r="BS384" i="4"/>
  <c r="BS385" i="4"/>
  <c r="BS386" i="4"/>
  <c r="BS387" i="4"/>
  <c r="BS388" i="4"/>
  <c r="BS389" i="4"/>
  <c r="BS390" i="4"/>
  <c r="BS391" i="4"/>
  <c r="BS392" i="4"/>
  <c r="BS393" i="4"/>
  <c r="BS394" i="4"/>
  <c r="BS395" i="4"/>
  <c r="BS396" i="4"/>
  <c r="BS397" i="4"/>
  <c r="BS398" i="4"/>
  <c r="BS399" i="4"/>
  <c r="BS400" i="4"/>
  <c r="BS401" i="4"/>
  <c r="BS402" i="4"/>
  <c r="BS403" i="4"/>
  <c r="BS404" i="4"/>
  <c r="BS405" i="4"/>
  <c r="BS406" i="4"/>
  <c r="BS407" i="4"/>
  <c r="BS408" i="4"/>
  <c r="BS409" i="4"/>
  <c r="BS410" i="4"/>
  <c r="BS411" i="4"/>
  <c r="BS412" i="4"/>
  <c r="BS413" i="4"/>
  <c r="BS414" i="4"/>
  <c r="BS415" i="4"/>
  <c r="BS416" i="4"/>
  <c r="BS417" i="4"/>
  <c r="BS418" i="4"/>
  <c r="BS419" i="4"/>
  <c r="BS420" i="4"/>
  <c r="BS421" i="4"/>
  <c r="BS422" i="4"/>
  <c r="BS423" i="4"/>
  <c r="BS424" i="4"/>
  <c r="BS425" i="4"/>
  <c r="BS426" i="4"/>
  <c r="BS427" i="4"/>
  <c r="BS428" i="4"/>
  <c r="BS429" i="4"/>
  <c r="BS430" i="4"/>
  <c r="BS431" i="4"/>
  <c r="BS432" i="4"/>
  <c r="BS433" i="4"/>
  <c r="BS434" i="4"/>
  <c r="BS435" i="4"/>
  <c r="BS436" i="4"/>
  <c r="BS437" i="4"/>
  <c r="BS438" i="4"/>
  <c r="BS439" i="4"/>
  <c r="BS440" i="4"/>
  <c r="BS441" i="4"/>
  <c r="BS442" i="4"/>
  <c r="BS443" i="4"/>
  <c r="BS444" i="4"/>
  <c r="BS445" i="4"/>
  <c r="BS446" i="4"/>
  <c r="BS447" i="4"/>
  <c r="BS448" i="4"/>
  <c r="BS449" i="4"/>
  <c r="BS450" i="4"/>
  <c r="BS451" i="4"/>
  <c r="BS452" i="4"/>
  <c r="BS453" i="4"/>
  <c r="BS454" i="4"/>
  <c r="BS455" i="4"/>
  <c r="BS456" i="4"/>
  <c r="BS457" i="4"/>
  <c r="BS458" i="4"/>
  <c r="BS459" i="4"/>
  <c r="BS460" i="4"/>
  <c r="BS461" i="4"/>
  <c r="BS462" i="4"/>
  <c r="BS463" i="4"/>
  <c r="BS464" i="4"/>
  <c r="BS465" i="4"/>
  <c r="BS466" i="4"/>
  <c r="BS467" i="4"/>
  <c r="BS468" i="4"/>
  <c r="BS469" i="4"/>
  <c r="BS470" i="4"/>
  <c r="BS471" i="4"/>
  <c r="BS472" i="4"/>
  <c r="BS473" i="4"/>
  <c r="BS474" i="4"/>
  <c r="BS475" i="4"/>
  <c r="BS476" i="4"/>
  <c r="BS477" i="4"/>
  <c r="BS478" i="4"/>
  <c r="BS479" i="4"/>
  <c r="BS480" i="4"/>
  <c r="BS481" i="4"/>
  <c r="BS482" i="4"/>
  <c r="BS483" i="4"/>
  <c r="BS484" i="4"/>
  <c r="BS485" i="4"/>
  <c r="BS486" i="4"/>
  <c r="BS487" i="4"/>
  <c r="BS488" i="4"/>
  <c r="BS489" i="4"/>
  <c r="BS490" i="4"/>
  <c r="BS491" i="4"/>
  <c r="BS492" i="4"/>
  <c r="BS493" i="4"/>
  <c r="BS494" i="4"/>
  <c r="BS495" i="4"/>
  <c r="BS496" i="4"/>
  <c r="BS497" i="4"/>
  <c r="BS498" i="4"/>
  <c r="BS499" i="4"/>
  <c r="BS500" i="4"/>
  <c r="BS501" i="4"/>
  <c r="BS502" i="4"/>
  <c r="BS503" i="4"/>
  <c r="BS504" i="4"/>
  <c r="BS505" i="4"/>
  <c r="BS506" i="4"/>
  <c r="BS507" i="4"/>
  <c r="BS508" i="4"/>
  <c r="BS509" i="4"/>
  <c r="BS510" i="4"/>
  <c r="BS511" i="4"/>
  <c r="BS512" i="4"/>
  <c r="BS513" i="4"/>
  <c r="BS514" i="4"/>
  <c r="BS515" i="4"/>
  <c r="BS516" i="4"/>
  <c r="BS517" i="4"/>
  <c r="BS518" i="4"/>
  <c r="BS519" i="4"/>
  <c r="BS520" i="4"/>
  <c r="BS521" i="4"/>
  <c r="BS522" i="4"/>
  <c r="BS523" i="4"/>
  <c r="BS524" i="4"/>
  <c r="BS525" i="4"/>
  <c r="BS526" i="4"/>
  <c r="BS527" i="4"/>
  <c r="BS528" i="4"/>
  <c r="BS529" i="4"/>
  <c r="BS530" i="4"/>
  <c r="BS531" i="4"/>
  <c r="BS532" i="4"/>
  <c r="BS533" i="4"/>
  <c r="BS534" i="4"/>
  <c r="BS535" i="4"/>
  <c r="BS536" i="4"/>
  <c r="BS537" i="4"/>
  <c r="BS538" i="4"/>
  <c r="BS539" i="4"/>
  <c r="BS540" i="4"/>
  <c r="BS541" i="4"/>
  <c r="BS542" i="4"/>
  <c r="BS543" i="4"/>
  <c r="BS544" i="4"/>
  <c r="BS545" i="4"/>
  <c r="BS546" i="4"/>
  <c r="BS547" i="4"/>
  <c r="BS548" i="4"/>
  <c r="BS549" i="4"/>
  <c r="BS550" i="4"/>
  <c r="BS551" i="4"/>
  <c r="BS552" i="4"/>
  <c r="BS553" i="4"/>
  <c r="BS554" i="4"/>
  <c r="BS555" i="4"/>
  <c r="BS556" i="4"/>
  <c r="BS557" i="4"/>
  <c r="BS558" i="4"/>
  <c r="BS559" i="4"/>
  <c r="BS560" i="4"/>
  <c r="BS561" i="4"/>
  <c r="BS562" i="4"/>
  <c r="BS563" i="4"/>
  <c r="BS564" i="4"/>
  <c r="BS565" i="4"/>
  <c r="BS566" i="4"/>
  <c r="BS567" i="4"/>
  <c r="BS568" i="4"/>
  <c r="BS569" i="4"/>
  <c r="BS570" i="4"/>
  <c r="BS571" i="4"/>
  <c r="BS572" i="4"/>
  <c r="BS573" i="4"/>
  <c r="BS574" i="4"/>
  <c r="BS575" i="4"/>
  <c r="BS576" i="4"/>
  <c r="BS577" i="4"/>
  <c r="BS578" i="4"/>
  <c r="BS579" i="4"/>
  <c r="BS580" i="4"/>
  <c r="BS581" i="4"/>
  <c r="BS582" i="4"/>
  <c r="BS583" i="4"/>
  <c r="BS584" i="4"/>
  <c r="BS585" i="4"/>
  <c r="BS586" i="4"/>
  <c r="BS587" i="4"/>
  <c r="BS588" i="4"/>
  <c r="BS589" i="4"/>
  <c r="BS590" i="4"/>
  <c r="BS591" i="4"/>
  <c r="BS592" i="4"/>
  <c r="BS593" i="4"/>
  <c r="BS594" i="4"/>
  <c r="BS595" i="4"/>
  <c r="BS596" i="4"/>
  <c r="BS597" i="4"/>
  <c r="BS598" i="4"/>
  <c r="BS599" i="4"/>
  <c r="BS600" i="4"/>
  <c r="BS601" i="4"/>
  <c r="BS602" i="4"/>
  <c r="BS603" i="4"/>
  <c r="BS604" i="4"/>
  <c r="BS605" i="4"/>
  <c r="BS606" i="4"/>
  <c r="BS607" i="4"/>
  <c r="BS608" i="4"/>
  <c r="BS609" i="4"/>
  <c r="BS610" i="4"/>
  <c r="BS611" i="4"/>
  <c r="BS612" i="4"/>
  <c r="BS613" i="4"/>
  <c r="BS614" i="4"/>
  <c r="BS615" i="4"/>
  <c r="BS616" i="4"/>
  <c r="BS617" i="4"/>
  <c r="BS618" i="4"/>
  <c r="BS619" i="4"/>
  <c r="BS620" i="4"/>
  <c r="BS621" i="4"/>
  <c r="BS622" i="4"/>
  <c r="BS623" i="4"/>
  <c r="BS624" i="4"/>
  <c r="BS625" i="4"/>
  <c r="BS626" i="4"/>
  <c r="BS627" i="4"/>
  <c r="BS628" i="4"/>
  <c r="BS629" i="4"/>
  <c r="BS630" i="4"/>
  <c r="BS631" i="4"/>
  <c r="BS632" i="4"/>
  <c r="BS633" i="4"/>
  <c r="BS634" i="4"/>
  <c r="BS635" i="4"/>
  <c r="BS636" i="4"/>
  <c r="BS637" i="4"/>
  <c r="BS638" i="4"/>
  <c r="BS639" i="4"/>
  <c r="BS640" i="4"/>
  <c r="BS641" i="4"/>
  <c r="BS642" i="4"/>
  <c r="BS643" i="4"/>
  <c r="BS644" i="4"/>
  <c r="BS645" i="4"/>
  <c r="BS646" i="4"/>
  <c r="BS647" i="4"/>
  <c r="BS648" i="4"/>
  <c r="BS649" i="4"/>
  <c r="BS650" i="4"/>
  <c r="BS651" i="4"/>
  <c r="BS652" i="4"/>
  <c r="BS653" i="4"/>
  <c r="BS654" i="4"/>
  <c r="BS655" i="4"/>
  <c r="BS656" i="4"/>
  <c r="BS657" i="4"/>
  <c r="BS658" i="4"/>
  <c r="BS659" i="4"/>
  <c r="BS660" i="4"/>
  <c r="BS661" i="4"/>
  <c r="BS662" i="4"/>
  <c r="BS663" i="4"/>
  <c r="BS664" i="4"/>
  <c r="BS665" i="4"/>
  <c r="BS666" i="4"/>
  <c r="BS667" i="4"/>
  <c r="BS668" i="4"/>
  <c r="BS669" i="4"/>
  <c r="BS670" i="4"/>
  <c r="BS671" i="4"/>
  <c r="BS672" i="4"/>
  <c r="BS673" i="4"/>
  <c r="BS674" i="4"/>
  <c r="BS675" i="4"/>
  <c r="BS676" i="4"/>
  <c r="BS677" i="4"/>
  <c r="BS678" i="4"/>
  <c r="BS679" i="4"/>
  <c r="BS680" i="4"/>
  <c r="BS681" i="4"/>
  <c r="BS682" i="4"/>
  <c r="BS683" i="4"/>
  <c r="BS684" i="4"/>
  <c r="BS685" i="4"/>
  <c r="BS686" i="4"/>
  <c r="BS687" i="4"/>
  <c r="BS688" i="4"/>
  <c r="BS689" i="4"/>
  <c r="BS690" i="4"/>
  <c r="BS691" i="4"/>
  <c r="BS692" i="4"/>
  <c r="BS693" i="4"/>
  <c r="BS694" i="4"/>
  <c r="BS695" i="4"/>
  <c r="BS696" i="4"/>
  <c r="BR2" i="4"/>
  <c r="BV2" i="4" s="1"/>
  <c r="BR3" i="4"/>
  <c r="BR4" i="4"/>
  <c r="BR5" i="4"/>
  <c r="BR6" i="4"/>
  <c r="BR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98" i="4"/>
  <c r="BR99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R113" i="4"/>
  <c r="BR114" i="4"/>
  <c r="BR115" i="4"/>
  <c r="BR116" i="4"/>
  <c r="BR117" i="4"/>
  <c r="BR118" i="4"/>
  <c r="BR119" i="4"/>
  <c r="BR120" i="4"/>
  <c r="BR121" i="4"/>
  <c r="BR122" i="4"/>
  <c r="BR123" i="4"/>
  <c r="BR124" i="4"/>
  <c r="BR125" i="4"/>
  <c r="BR126" i="4"/>
  <c r="BR127" i="4"/>
  <c r="BR128" i="4"/>
  <c r="BR129" i="4"/>
  <c r="BR130" i="4"/>
  <c r="BR131" i="4"/>
  <c r="BR132" i="4"/>
  <c r="BR133" i="4"/>
  <c r="BR134" i="4"/>
  <c r="BR135" i="4"/>
  <c r="BR136" i="4"/>
  <c r="BR137" i="4"/>
  <c r="BR138" i="4"/>
  <c r="BR139" i="4"/>
  <c r="BR140" i="4"/>
  <c r="BR141" i="4"/>
  <c r="BR142" i="4"/>
  <c r="BR143" i="4"/>
  <c r="BR144" i="4"/>
  <c r="BR145" i="4"/>
  <c r="BR146" i="4"/>
  <c r="BR147" i="4"/>
  <c r="BR148" i="4"/>
  <c r="BR149" i="4"/>
  <c r="BR150" i="4"/>
  <c r="BR151" i="4"/>
  <c r="BR152" i="4"/>
  <c r="BR153" i="4"/>
  <c r="BR154" i="4"/>
  <c r="BR155" i="4"/>
  <c r="BR156" i="4"/>
  <c r="BR157" i="4"/>
  <c r="BR158" i="4"/>
  <c r="BR159" i="4"/>
  <c r="BR160" i="4"/>
  <c r="BR161" i="4"/>
  <c r="BR162" i="4"/>
  <c r="BR163" i="4"/>
  <c r="BR164" i="4"/>
  <c r="BR165" i="4"/>
  <c r="BR166" i="4"/>
  <c r="BR167" i="4"/>
  <c r="BR168" i="4"/>
  <c r="BR169" i="4"/>
  <c r="BR170" i="4"/>
  <c r="BR171" i="4"/>
  <c r="BR172" i="4"/>
  <c r="BR173" i="4"/>
  <c r="BR174" i="4"/>
  <c r="BR175" i="4"/>
  <c r="BR176" i="4"/>
  <c r="BR177" i="4"/>
  <c r="BR178" i="4"/>
  <c r="BR179" i="4"/>
  <c r="BR180" i="4"/>
  <c r="BR181" i="4"/>
  <c r="BR182" i="4"/>
  <c r="BR183" i="4"/>
  <c r="BR184" i="4"/>
  <c r="BR185" i="4"/>
  <c r="BR186" i="4"/>
  <c r="BR187" i="4"/>
  <c r="BR188" i="4"/>
  <c r="BR189" i="4"/>
  <c r="BR190" i="4"/>
  <c r="BR191" i="4"/>
  <c r="BR192" i="4"/>
  <c r="BR193" i="4"/>
  <c r="BR194" i="4"/>
  <c r="BR195" i="4"/>
  <c r="BR196" i="4"/>
  <c r="BR197" i="4"/>
  <c r="BR198" i="4"/>
  <c r="BR199" i="4"/>
  <c r="BR200" i="4"/>
  <c r="BR201" i="4"/>
  <c r="BR202" i="4"/>
  <c r="BR203" i="4"/>
  <c r="BR204" i="4"/>
  <c r="BR205" i="4"/>
  <c r="BR206" i="4"/>
  <c r="BR207" i="4"/>
  <c r="BR208" i="4"/>
  <c r="BR209" i="4"/>
  <c r="BR210" i="4"/>
  <c r="BR211" i="4"/>
  <c r="BR212" i="4"/>
  <c r="BR213" i="4"/>
  <c r="BR214" i="4"/>
  <c r="BR215" i="4"/>
  <c r="BR216" i="4"/>
  <c r="BR217" i="4"/>
  <c r="BR218" i="4"/>
  <c r="BR219" i="4"/>
  <c r="BR220" i="4"/>
  <c r="BR221" i="4"/>
  <c r="BR222" i="4"/>
  <c r="BR223" i="4"/>
  <c r="BR224" i="4"/>
  <c r="BR225" i="4"/>
  <c r="BR226" i="4"/>
  <c r="BR227" i="4"/>
  <c r="BR228" i="4"/>
  <c r="BR229" i="4"/>
  <c r="BR230" i="4"/>
  <c r="BR231" i="4"/>
  <c r="BR232" i="4"/>
  <c r="BR233" i="4"/>
  <c r="BR234" i="4"/>
  <c r="BR235" i="4"/>
  <c r="BR236" i="4"/>
  <c r="BR237" i="4"/>
  <c r="BR238" i="4"/>
  <c r="BR239" i="4"/>
  <c r="BR240" i="4"/>
  <c r="BR241" i="4"/>
  <c r="BR242" i="4"/>
  <c r="BR243" i="4"/>
  <c r="BR244" i="4"/>
  <c r="BR245" i="4"/>
  <c r="BR246" i="4"/>
  <c r="BR247" i="4"/>
  <c r="BR248" i="4"/>
  <c r="BR249" i="4"/>
  <c r="BR250" i="4"/>
  <c r="BR251" i="4"/>
  <c r="BR252" i="4"/>
  <c r="BR253" i="4"/>
  <c r="BR254" i="4"/>
  <c r="BR255" i="4"/>
  <c r="BR256" i="4"/>
  <c r="BR257" i="4"/>
  <c r="BR258" i="4"/>
  <c r="BR259" i="4"/>
  <c r="BR260" i="4"/>
  <c r="BR261" i="4"/>
  <c r="BR262" i="4"/>
  <c r="BR263" i="4"/>
  <c r="BR264" i="4"/>
  <c r="BR265" i="4"/>
  <c r="BR266" i="4"/>
  <c r="BR267" i="4"/>
  <c r="BR268" i="4"/>
  <c r="BR269" i="4"/>
  <c r="BR270" i="4"/>
  <c r="BR271" i="4"/>
  <c r="BR272" i="4"/>
  <c r="BR273" i="4"/>
  <c r="BR274" i="4"/>
  <c r="BR275" i="4"/>
  <c r="BR276" i="4"/>
  <c r="BR277" i="4"/>
  <c r="BR278" i="4"/>
  <c r="BR279" i="4"/>
  <c r="BR280" i="4"/>
  <c r="BR281" i="4"/>
  <c r="BR282" i="4"/>
  <c r="BR283" i="4"/>
  <c r="BR284" i="4"/>
  <c r="BR285" i="4"/>
  <c r="BR286" i="4"/>
  <c r="BR287" i="4"/>
  <c r="BR288" i="4"/>
  <c r="BR289" i="4"/>
  <c r="BR290" i="4"/>
  <c r="BR291" i="4"/>
  <c r="BR292" i="4"/>
  <c r="BR293" i="4"/>
  <c r="BR294" i="4"/>
  <c r="BR295" i="4"/>
  <c r="BR296" i="4"/>
  <c r="BR297" i="4"/>
  <c r="BR298" i="4"/>
  <c r="BR299" i="4"/>
  <c r="BR300" i="4"/>
  <c r="BR301" i="4"/>
  <c r="BR302" i="4"/>
  <c r="BR303" i="4"/>
  <c r="BR304" i="4"/>
  <c r="BR305" i="4"/>
  <c r="BR306" i="4"/>
  <c r="BR307" i="4"/>
  <c r="BR308" i="4"/>
  <c r="BR309" i="4"/>
  <c r="BR310" i="4"/>
  <c r="BR311" i="4"/>
  <c r="BR312" i="4"/>
  <c r="BR313" i="4"/>
  <c r="BR314" i="4"/>
  <c r="BR315" i="4"/>
  <c r="BR316" i="4"/>
  <c r="BR317" i="4"/>
  <c r="BR318" i="4"/>
  <c r="BR319" i="4"/>
  <c r="BR320" i="4"/>
  <c r="BR321" i="4"/>
  <c r="BR322" i="4"/>
  <c r="BR323" i="4"/>
  <c r="BR324" i="4"/>
  <c r="BR325" i="4"/>
  <c r="BR326" i="4"/>
  <c r="BR327" i="4"/>
  <c r="BR328" i="4"/>
  <c r="BR329" i="4"/>
  <c r="BR330" i="4"/>
  <c r="BR331" i="4"/>
  <c r="BR332" i="4"/>
  <c r="BR333" i="4"/>
  <c r="BR334" i="4"/>
  <c r="BR335" i="4"/>
  <c r="BR336" i="4"/>
  <c r="BR337" i="4"/>
  <c r="BR338" i="4"/>
  <c r="BR339" i="4"/>
  <c r="BR340" i="4"/>
  <c r="BR341" i="4"/>
  <c r="BR342" i="4"/>
  <c r="BR343" i="4"/>
  <c r="BR344" i="4"/>
  <c r="BR345" i="4"/>
  <c r="BR346" i="4"/>
  <c r="BR347" i="4"/>
  <c r="BR348" i="4"/>
  <c r="BR349" i="4"/>
  <c r="BR350" i="4"/>
  <c r="BR351" i="4"/>
  <c r="BR352" i="4"/>
  <c r="BR353" i="4"/>
  <c r="BR354" i="4"/>
  <c r="BR355" i="4"/>
  <c r="BR356" i="4"/>
  <c r="BR357" i="4"/>
  <c r="BR358" i="4"/>
  <c r="BR359" i="4"/>
  <c r="BR360" i="4"/>
  <c r="BR361" i="4"/>
  <c r="BR362" i="4"/>
  <c r="BR363" i="4"/>
  <c r="BR364" i="4"/>
  <c r="BR365" i="4"/>
  <c r="BR366" i="4"/>
  <c r="BR367" i="4"/>
  <c r="BR368" i="4"/>
  <c r="BR369" i="4"/>
  <c r="BR370" i="4"/>
  <c r="BR371" i="4"/>
  <c r="BR372" i="4"/>
  <c r="BR373" i="4"/>
  <c r="BR374" i="4"/>
  <c r="BR375" i="4"/>
  <c r="BR376" i="4"/>
  <c r="BR377" i="4"/>
  <c r="BR378" i="4"/>
  <c r="BR379" i="4"/>
  <c r="BR380" i="4"/>
  <c r="BR381" i="4"/>
  <c r="BR382" i="4"/>
  <c r="BR383" i="4"/>
  <c r="BR384" i="4"/>
  <c r="BR385" i="4"/>
  <c r="BR386" i="4"/>
  <c r="BR387" i="4"/>
  <c r="BR388" i="4"/>
  <c r="BR389" i="4"/>
  <c r="BR390" i="4"/>
  <c r="BR391" i="4"/>
  <c r="BR392" i="4"/>
  <c r="BR393" i="4"/>
  <c r="BR394" i="4"/>
  <c r="BR395" i="4"/>
  <c r="BR396" i="4"/>
  <c r="BR397" i="4"/>
  <c r="BR398" i="4"/>
  <c r="BR399" i="4"/>
  <c r="BR400" i="4"/>
  <c r="BR401" i="4"/>
  <c r="BR402" i="4"/>
  <c r="BR403" i="4"/>
  <c r="BR404" i="4"/>
  <c r="BR405" i="4"/>
  <c r="BR406" i="4"/>
  <c r="BR407" i="4"/>
  <c r="BR408" i="4"/>
  <c r="BR409" i="4"/>
  <c r="BR410" i="4"/>
  <c r="BR411" i="4"/>
  <c r="BR412" i="4"/>
  <c r="BR413" i="4"/>
  <c r="BR414" i="4"/>
  <c r="BR415" i="4"/>
  <c r="BR416" i="4"/>
  <c r="BR417" i="4"/>
  <c r="BR418" i="4"/>
  <c r="BR419" i="4"/>
  <c r="BR420" i="4"/>
  <c r="BR421" i="4"/>
  <c r="BR422" i="4"/>
  <c r="BR423" i="4"/>
  <c r="BR424" i="4"/>
  <c r="BR425" i="4"/>
  <c r="BR426" i="4"/>
  <c r="BR427" i="4"/>
  <c r="BR428" i="4"/>
  <c r="BR429" i="4"/>
  <c r="BR430" i="4"/>
  <c r="BR431" i="4"/>
  <c r="BR432" i="4"/>
  <c r="BR433" i="4"/>
  <c r="BR434" i="4"/>
  <c r="BR435" i="4"/>
  <c r="BR436" i="4"/>
  <c r="BR437" i="4"/>
  <c r="BR438" i="4"/>
  <c r="BR439" i="4"/>
  <c r="BR440" i="4"/>
  <c r="BR441" i="4"/>
  <c r="BR442" i="4"/>
  <c r="BR443" i="4"/>
  <c r="BR444" i="4"/>
  <c r="BR445" i="4"/>
  <c r="BR446" i="4"/>
  <c r="BR447" i="4"/>
  <c r="BR448" i="4"/>
  <c r="BR449" i="4"/>
  <c r="BR450" i="4"/>
  <c r="BR451" i="4"/>
  <c r="BR452" i="4"/>
  <c r="BR453" i="4"/>
  <c r="BR454" i="4"/>
  <c r="BR455" i="4"/>
  <c r="BR456" i="4"/>
  <c r="BR457" i="4"/>
  <c r="BR458" i="4"/>
  <c r="BR459" i="4"/>
  <c r="BR460" i="4"/>
  <c r="BR461" i="4"/>
  <c r="BR462" i="4"/>
  <c r="BR463" i="4"/>
  <c r="BR464" i="4"/>
  <c r="BR465" i="4"/>
  <c r="BR466" i="4"/>
  <c r="BR467" i="4"/>
  <c r="BR468" i="4"/>
  <c r="BR469" i="4"/>
  <c r="BR470" i="4"/>
  <c r="BR471" i="4"/>
  <c r="BR472" i="4"/>
  <c r="BR473" i="4"/>
  <c r="BR474" i="4"/>
  <c r="BR475" i="4"/>
  <c r="BR476" i="4"/>
  <c r="BR477" i="4"/>
  <c r="BR478" i="4"/>
  <c r="BR479" i="4"/>
  <c r="BR480" i="4"/>
  <c r="BR481" i="4"/>
  <c r="BR482" i="4"/>
  <c r="BR483" i="4"/>
  <c r="BR484" i="4"/>
  <c r="BR485" i="4"/>
  <c r="BR486" i="4"/>
  <c r="BR487" i="4"/>
  <c r="BR488" i="4"/>
  <c r="BR489" i="4"/>
  <c r="BR490" i="4"/>
  <c r="BR491" i="4"/>
  <c r="BR492" i="4"/>
  <c r="BR493" i="4"/>
  <c r="BR494" i="4"/>
  <c r="BR495" i="4"/>
  <c r="BR496" i="4"/>
  <c r="BR497" i="4"/>
  <c r="BR498" i="4"/>
  <c r="BR499" i="4"/>
  <c r="BR500" i="4"/>
  <c r="BR501" i="4"/>
  <c r="BR502" i="4"/>
  <c r="BR503" i="4"/>
  <c r="BR504" i="4"/>
  <c r="BR505" i="4"/>
  <c r="BR506" i="4"/>
  <c r="BR507" i="4"/>
  <c r="BR508" i="4"/>
  <c r="BR509" i="4"/>
  <c r="BR510" i="4"/>
  <c r="BR511" i="4"/>
  <c r="BR512" i="4"/>
  <c r="BR513" i="4"/>
  <c r="BR514" i="4"/>
  <c r="BR515" i="4"/>
  <c r="BR516" i="4"/>
  <c r="BR517" i="4"/>
  <c r="BR518" i="4"/>
  <c r="BR519" i="4"/>
  <c r="BR520" i="4"/>
  <c r="BR521" i="4"/>
  <c r="BR522" i="4"/>
  <c r="BR523" i="4"/>
  <c r="BR524" i="4"/>
  <c r="BR525" i="4"/>
  <c r="BR526" i="4"/>
  <c r="BR527" i="4"/>
  <c r="BR528" i="4"/>
  <c r="BR529" i="4"/>
  <c r="BR530" i="4"/>
  <c r="BR531" i="4"/>
  <c r="BR532" i="4"/>
  <c r="BR533" i="4"/>
  <c r="BR534" i="4"/>
  <c r="BR535" i="4"/>
  <c r="BR536" i="4"/>
  <c r="BR537" i="4"/>
  <c r="BR538" i="4"/>
  <c r="BR539" i="4"/>
  <c r="BR540" i="4"/>
  <c r="BR541" i="4"/>
  <c r="BR542" i="4"/>
  <c r="BR543" i="4"/>
  <c r="BR544" i="4"/>
  <c r="BR545" i="4"/>
  <c r="BR546" i="4"/>
  <c r="BR547" i="4"/>
  <c r="BR548" i="4"/>
  <c r="BR549" i="4"/>
  <c r="BR550" i="4"/>
  <c r="BR551" i="4"/>
  <c r="BR552" i="4"/>
  <c r="BR553" i="4"/>
  <c r="BR554" i="4"/>
  <c r="BR555" i="4"/>
  <c r="BR556" i="4"/>
  <c r="BR557" i="4"/>
  <c r="BR558" i="4"/>
  <c r="BR559" i="4"/>
  <c r="BR560" i="4"/>
  <c r="BR561" i="4"/>
  <c r="BR562" i="4"/>
  <c r="BR563" i="4"/>
  <c r="BR564" i="4"/>
  <c r="BR565" i="4"/>
  <c r="BR566" i="4"/>
  <c r="BR567" i="4"/>
  <c r="BR568" i="4"/>
  <c r="BR569" i="4"/>
  <c r="BR570" i="4"/>
  <c r="BR571" i="4"/>
  <c r="BR572" i="4"/>
  <c r="BR573" i="4"/>
  <c r="BR574" i="4"/>
  <c r="BR575" i="4"/>
  <c r="BR576" i="4"/>
  <c r="BR577" i="4"/>
  <c r="BR578" i="4"/>
  <c r="BR579" i="4"/>
  <c r="BR580" i="4"/>
  <c r="BR581" i="4"/>
  <c r="BR582" i="4"/>
  <c r="BR583" i="4"/>
  <c r="BR584" i="4"/>
  <c r="BR585" i="4"/>
  <c r="BR586" i="4"/>
  <c r="BR587" i="4"/>
  <c r="BR588" i="4"/>
  <c r="BR589" i="4"/>
  <c r="BR590" i="4"/>
  <c r="BR591" i="4"/>
  <c r="BR592" i="4"/>
  <c r="BR593" i="4"/>
  <c r="BR594" i="4"/>
  <c r="BR595" i="4"/>
  <c r="BR596" i="4"/>
  <c r="BR597" i="4"/>
  <c r="BR598" i="4"/>
  <c r="BR599" i="4"/>
  <c r="BR600" i="4"/>
  <c r="BR601" i="4"/>
  <c r="BR602" i="4"/>
  <c r="BR603" i="4"/>
  <c r="BR604" i="4"/>
  <c r="BR605" i="4"/>
  <c r="BR606" i="4"/>
  <c r="BR607" i="4"/>
  <c r="BR608" i="4"/>
  <c r="BR609" i="4"/>
  <c r="BR610" i="4"/>
  <c r="BR611" i="4"/>
  <c r="BR612" i="4"/>
  <c r="BR613" i="4"/>
  <c r="BR614" i="4"/>
  <c r="BR615" i="4"/>
  <c r="BR616" i="4"/>
  <c r="BR617" i="4"/>
  <c r="BR618" i="4"/>
  <c r="BR619" i="4"/>
  <c r="BR620" i="4"/>
  <c r="BR621" i="4"/>
  <c r="BR622" i="4"/>
  <c r="BR623" i="4"/>
  <c r="BR624" i="4"/>
  <c r="BR625" i="4"/>
  <c r="BR626" i="4"/>
  <c r="BR627" i="4"/>
  <c r="BR628" i="4"/>
  <c r="BR629" i="4"/>
  <c r="BR630" i="4"/>
  <c r="BR631" i="4"/>
  <c r="BR632" i="4"/>
  <c r="BR633" i="4"/>
  <c r="BR634" i="4"/>
  <c r="BR635" i="4"/>
  <c r="BR636" i="4"/>
  <c r="BR637" i="4"/>
  <c r="BR638" i="4"/>
  <c r="BR639" i="4"/>
  <c r="BR640" i="4"/>
  <c r="BR641" i="4"/>
  <c r="BR642" i="4"/>
  <c r="BR643" i="4"/>
  <c r="BR644" i="4"/>
  <c r="BR645" i="4"/>
  <c r="BR646" i="4"/>
  <c r="BR647" i="4"/>
  <c r="BR648" i="4"/>
  <c r="BR649" i="4"/>
  <c r="BR650" i="4"/>
  <c r="BR651" i="4"/>
  <c r="BR652" i="4"/>
  <c r="BR653" i="4"/>
  <c r="BR654" i="4"/>
  <c r="BR655" i="4"/>
  <c r="BR656" i="4"/>
  <c r="BR657" i="4"/>
  <c r="BR658" i="4"/>
  <c r="BR659" i="4"/>
  <c r="BR660" i="4"/>
  <c r="BR661" i="4"/>
  <c r="BR662" i="4"/>
  <c r="BR663" i="4"/>
  <c r="BR664" i="4"/>
  <c r="BR665" i="4"/>
  <c r="BR666" i="4"/>
  <c r="BR667" i="4"/>
  <c r="BR668" i="4"/>
  <c r="BR669" i="4"/>
  <c r="BR670" i="4"/>
  <c r="BR671" i="4"/>
  <c r="BR672" i="4"/>
  <c r="BR673" i="4"/>
  <c r="BR674" i="4"/>
  <c r="BR675" i="4"/>
  <c r="BR676" i="4"/>
  <c r="BR677" i="4"/>
  <c r="BR678" i="4"/>
  <c r="BR679" i="4"/>
  <c r="BR680" i="4"/>
  <c r="BR681" i="4"/>
  <c r="BR682" i="4"/>
  <c r="BR683" i="4"/>
  <c r="BR684" i="4"/>
  <c r="BR685" i="4"/>
  <c r="BR686" i="4"/>
  <c r="BR687" i="4"/>
  <c r="BR688" i="4"/>
  <c r="BR689" i="4"/>
  <c r="BR690" i="4"/>
  <c r="BR691" i="4"/>
  <c r="BR692" i="4"/>
  <c r="BR693" i="4"/>
  <c r="BR694" i="4"/>
  <c r="BR695" i="4"/>
  <c r="BR696" i="4"/>
  <c r="BI2" i="4"/>
  <c r="BI3" i="4"/>
  <c r="BI4" i="4"/>
  <c r="BI5" i="4"/>
  <c r="BI6" i="4"/>
  <c r="BI7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98" i="4"/>
  <c r="BI99" i="4"/>
  <c r="BI100" i="4"/>
  <c r="BI101" i="4"/>
  <c r="BI102" i="4"/>
  <c r="BI103" i="4"/>
  <c r="BI104" i="4"/>
  <c r="BI105" i="4"/>
  <c r="BI106" i="4"/>
  <c r="BI107" i="4"/>
  <c r="BI108" i="4"/>
  <c r="BI109" i="4"/>
  <c r="BI110" i="4"/>
  <c r="BI111" i="4"/>
  <c r="BI112" i="4"/>
  <c r="BI113" i="4"/>
  <c r="BI114" i="4"/>
  <c r="BI115" i="4"/>
  <c r="BI116" i="4"/>
  <c r="BI117" i="4"/>
  <c r="BI118" i="4"/>
  <c r="BI119" i="4"/>
  <c r="BI120" i="4"/>
  <c r="BI121" i="4"/>
  <c r="BI122" i="4"/>
  <c r="BI123" i="4"/>
  <c r="BI124" i="4"/>
  <c r="BI125" i="4"/>
  <c r="BI126" i="4"/>
  <c r="BI127" i="4"/>
  <c r="BI128" i="4"/>
  <c r="BI129" i="4"/>
  <c r="BI130" i="4"/>
  <c r="BI131" i="4"/>
  <c r="BI132" i="4"/>
  <c r="BI133" i="4"/>
  <c r="BI134" i="4"/>
  <c r="BI135" i="4"/>
  <c r="BI136" i="4"/>
  <c r="BI137" i="4"/>
  <c r="BI138" i="4"/>
  <c r="BI139" i="4"/>
  <c r="BI140" i="4"/>
  <c r="BI141" i="4"/>
  <c r="BI142" i="4"/>
  <c r="BI143" i="4"/>
  <c r="BI144" i="4"/>
  <c r="BI145" i="4"/>
  <c r="BI146" i="4"/>
  <c r="BI147" i="4"/>
  <c r="BI148" i="4"/>
  <c r="BI149" i="4"/>
  <c r="BI150" i="4"/>
  <c r="BI151" i="4"/>
  <c r="BI152" i="4"/>
  <c r="BI153" i="4"/>
  <c r="BI154" i="4"/>
  <c r="BI155" i="4"/>
  <c r="BI156" i="4"/>
  <c r="BI157" i="4"/>
  <c r="BI158" i="4"/>
  <c r="BI159" i="4"/>
  <c r="BI160" i="4"/>
  <c r="BI161" i="4"/>
  <c r="BI162" i="4"/>
  <c r="BI163" i="4"/>
  <c r="BI164" i="4"/>
  <c r="BI165" i="4"/>
  <c r="BI166" i="4"/>
  <c r="BI167" i="4"/>
  <c r="BI168" i="4"/>
  <c r="BI169" i="4"/>
  <c r="BI170" i="4"/>
  <c r="BI171" i="4"/>
  <c r="BI172" i="4"/>
  <c r="BI173" i="4"/>
  <c r="BI174" i="4"/>
  <c r="BI175" i="4"/>
  <c r="BI176" i="4"/>
  <c r="BI177" i="4"/>
  <c r="BI178" i="4"/>
  <c r="BI179" i="4"/>
  <c r="BI180" i="4"/>
  <c r="BI181" i="4"/>
  <c r="BI182" i="4"/>
  <c r="BI183" i="4"/>
  <c r="BI184" i="4"/>
  <c r="BI185" i="4"/>
  <c r="BI186" i="4"/>
  <c r="BI187" i="4"/>
  <c r="BI188" i="4"/>
  <c r="BI189" i="4"/>
  <c r="BI190" i="4"/>
  <c r="BI191" i="4"/>
  <c r="BI192" i="4"/>
  <c r="BI193" i="4"/>
  <c r="BI194" i="4"/>
  <c r="BI195" i="4"/>
  <c r="BI196" i="4"/>
  <c r="BI197" i="4"/>
  <c r="BI198" i="4"/>
  <c r="BI199" i="4"/>
  <c r="BI200" i="4"/>
  <c r="BI201" i="4"/>
  <c r="BI202" i="4"/>
  <c r="BI203" i="4"/>
  <c r="BI204" i="4"/>
  <c r="BI205" i="4"/>
  <c r="BI206" i="4"/>
  <c r="BI207" i="4"/>
  <c r="BI208" i="4"/>
  <c r="BI209" i="4"/>
  <c r="BI210" i="4"/>
  <c r="BI211" i="4"/>
  <c r="BI212" i="4"/>
  <c r="BI213" i="4"/>
  <c r="BI214" i="4"/>
  <c r="BI215" i="4"/>
  <c r="BI216" i="4"/>
  <c r="BI217" i="4"/>
  <c r="BI218" i="4"/>
  <c r="BI219" i="4"/>
  <c r="BI220" i="4"/>
  <c r="BI221" i="4"/>
  <c r="BI222" i="4"/>
  <c r="BI223" i="4"/>
  <c r="BI224" i="4"/>
  <c r="BI225" i="4"/>
  <c r="BI226" i="4"/>
  <c r="BI227" i="4"/>
  <c r="BI228" i="4"/>
  <c r="BI229" i="4"/>
  <c r="BI230" i="4"/>
  <c r="BI231" i="4"/>
  <c r="BI232" i="4"/>
  <c r="BI233" i="4"/>
  <c r="BI234" i="4"/>
  <c r="BI235" i="4"/>
  <c r="BI236" i="4"/>
  <c r="BI237" i="4"/>
  <c r="BI238" i="4"/>
  <c r="BI239" i="4"/>
  <c r="BI240" i="4"/>
  <c r="BI241" i="4"/>
  <c r="BI242" i="4"/>
  <c r="BI243" i="4"/>
  <c r="BI244" i="4"/>
  <c r="BI245" i="4"/>
  <c r="BI246" i="4"/>
  <c r="BI247" i="4"/>
  <c r="BI248" i="4"/>
  <c r="BI249" i="4"/>
  <c r="BI250" i="4"/>
  <c r="BI251" i="4"/>
  <c r="BI252" i="4"/>
  <c r="BI253" i="4"/>
  <c r="BI254" i="4"/>
  <c r="BI255" i="4"/>
  <c r="BI256" i="4"/>
  <c r="BI257" i="4"/>
  <c r="BI258" i="4"/>
  <c r="BI259" i="4"/>
  <c r="BI260" i="4"/>
  <c r="BI261" i="4"/>
  <c r="BI262" i="4"/>
  <c r="BI263" i="4"/>
  <c r="BI264" i="4"/>
  <c r="BI265" i="4"/>
  <c r="BI266" i="4"/>
  <c r="BI267" i="4"/>
  <c r="BI268" i="4"/>
  <c r="BI269" i="4"/>
  <c r="BI270" i="4"/>
  <c r="BI271" i="4"/>
  <c r="BI272" i="4"/>
  <c r="BI273" i="4"/>
  <c r="BI274" i="4"/>
  <c r="BI275" i="4"/>
  <c r="BI276" i="4"/>
  <c r="BI277" i="4"/>
  <c r="BI278" i="4"/>
  <c r="BI279" i="4"/>
  <c r="BI280" i="4"/>
  <c r="BI281" i="4"/>
  <c r="BI282" i="4"/>
  <c r="BI283" i="4"/>
  <c r="BI284" i="4"/>
  <c r="BI285" i="4"/>
  <c r="BI286" i="4"/>
  <c r="BI287" i="4"/>
  <c r="BI288" i="4"/>
  <c r="BI289" i="4"/>
  <c r="BI290" i="4"/>
  <c r="BI291" i="4"/>
  <c r="BI292" i="4"/>
  <c r="BI293" i="4"/>
  <c r="BI294" i="4"/>
  <c r="BI295" i="4"/>
  <c r="BI296" i="4"/>
  <c r="BI297" i="4"/>
  <c r="BI298" i="4"/>
  <c r="BI299" i="4"/>
  <c r="BI300" i="4"/>
  <c r="BI301" i="4"/>
  <c r="BI302" i="4"/>
  <c r="BI303" i="4"/>
  <c r="BI304" i="4"/>
  <c r="BI305" i="4"/>
  <c r="BI306" i="4"/>
  <c r="BI307" i="4"/>
  <c r="BI308" i="4"/>
  <c r="BI309" i="4"/>
  <c r="BI310" i="4"/>
  <c r="BI311" i="4"/>
  <c r="BI312" i="4"/>
  <c r="BI313" i="4"/>
  <c r="BI314" i="4"/>
  <c r="BI315" i="4"/>
  <c r="BI316" i="4"/>
  <c r="BI317" i="4"/>
  <c r="BI318" i="4"/>
  <c r="BI319" i="4"/>
  <c r="BI320" i="4"/>
  <c r="BI321" i="4"/>
  <c r="BI322" i="4"/>
  <c r="BI323" i="4"/>
  <c r="BI324" i="4"/>
  <c r="BI325" i="4"/>
  <c r="BI326" i="4"/>
  <c r="BI327" i="4"/>
  <c r="BI328" i="4"/>
  <c r="BI329" i="4"/>
  <c r="BI330" i="4"/>
  <c r="BI331" i="4"/>
  <c r="BI332" i="4"/>
  <c r="BI333" i="4"/>
  <c r="BI334" i="4"/>
  <c r="BI335" i="4"/>
  <c r="BI336" i="4"/>
  <c r="BI337" i="4"/>
  <c r="BI338" i="4"/>
  <c r="BI339" i="4"/>
  <c r="BI340" i="4"/>
  <c r="BI341" i="4"/>
  <c r="BI342" i="4"/>
  <c r="BI343" i="4"/>
  <c r="BI344" i="4"/>
  <c r="BI345" i="4"/>
  <c r="BI346" i="4"/>
  <c r="BI347" i="4"/>
  <c r="BI348" i="4"/>
  <c r="BI349" i="4"/>
  <c r="BI350" i="4"/>
  <c r="BI351" i="4"/>
  <c r="BI352" i="4"/>
  <c r="BI353" i="4"/>
  <c r="BI354" i="4"/>
  <c r="BI355" i="4"/>
  <c r="BI356" i="4"/>
  <c r="BI357" i="4"/>
  <c r="BI358" i="4"/>
  <c r="BI359" i="4"/>
  <c r="BI360" i="4"/>
  <c r="BI361" i="4"/>
  <c r="BI362" i="4"/>
  <c r="BI363" i="4"/>
  <c r="BI364" i="4"/>
  <c r="BI365" i="4"/>
  <c r="BI366" i="4"/>
  <c r="BI367" i="4"/>
  <c r="BI368" i="4"/>
  <c r="BI369" i="4"/>
  <c r="BI370" i="4"/>
  <c r="BI371" i="4"/>
  <c r="BI372" i="4"/>
  <c r="BI373" i="4"/>
  <c r="BI374" i="4"/>
  <c r="BI375" i="4"/>
  <c r="BI376" i="4"/>
  <c r="BI377" i="4"/>
  <c r="BI378" i="4"/>
  <c r="BI379" i="4"/>
  <c r="BI380" i="4"/>
  <c r="BI381" i="4"/>
  <c r="BI382" i="4"/>
  <c r="BI383" i="4"/>
  <c r="BI384" i="4"/>
  <c r="BI385" i="4"/>
  <c r="BI386" i="4"/>
  <c r="BI387" i="4"/>
  <c r="BI388" i="4"/>
  <c r="BI389" i="4"/>
  <c r="BI390" i="4"/>
  <c r="BI391" i="4"/>
  <c r="BI392" i="4"/>
  <c r="BI393" i="4"/>
  <c r="BI394" i="4"/>
  <c r="BI395" i="4"/>
  <c r="BI396" i="4"/>
  <c r="BI397" i="4"/>
  <c r="BI398" i="4"/>
  <c r="BI399" i="4"/>
  <c r="BI400" i="4"/>
  <c r="BI401" i="4"/>
  <c r="BI402" i="4"/>
  <c r="BI403" i="4"/>
  <c r="BI404" i="4"/>
  <c r="BI405" i="4"/>
  <c r="BI406" i="4"/>
  <c r="BI407" i="4"/>
  <c r="BI408" i="4"/>
  <c r="BI409" i="4"/>
  <c r="BI410" i="4"/>
  <c r="BI411" i="4"/>
  <c r="BI412" i="4"/>
  <c r="BI413" i="4"/>
  <c r="BI414" i="4"/>
  <c r="BI415" i="4"/>
  <c r="BI416" i="4"/>
  <c r="BI417" i="4"/>
  <c r="BI418" i="4"/>
  <c r="BI419" i="4"/>
  <c r="BI420" i="4"/>
  <c r="BI421" i="4"/>
  <c r="BI422" i="4"/>
  <c r="BI423" i="4"/>
  <c r="BI424" i="4"/>
  <c r="BI425" i="4"/>
  <c r="BI426" i="4"/>
  <c r="BI427" i="4"/>
  <c r="BI428" i="4"/>
  <c r="BI429" i="4"/>
  <c r="BI430" i="4"/>
  <c r="BI431" i="4"/>
  <c r="BI432" i="4"/>
  <c r="BI433" i="4"/>
  <c r="BI434" i="4"/>
  <c r="BI435" i="4"/>
  <c r="BI436" i="4"/>
  <c r="BI437" i="4"/>
  <c r="BI438" i="4"/>
  <c r="BI439" i="4"/>
  <c r="BI440" i="4"/>
  <c r="BI441" i="4"/>
  <c r="BI442" i="4"/>
  <c r="BI443" i="4"/>
  <c r="BI444" i="4"/>
  <c r="BI445" i="4"/>
  <c r="BI446" i="4"/>
  <c r="BI447" i="4"/>
  <c r="BI448" i="4"/>
  <c r="BI449" i="4"/>
  <c r="BI450" i="4"/>
  <c r="BI451" i="4"/>
  <c r="BI452" i="4"/>
  <c r="BI453" i="4"/>
  <c r="BI454" i="4"/>
  <c r="BI455" i="4"/>
  <c r="BI456" i="4"/>
  <c r="BI457" i="4"/>
  <c r="BI458" i="4"/>
  <c r="BI459" i="4"/>
  <c r="BI460" i="4"/>
  <c r="BI461" i="4"/>
  <c r="BI462" i="4"/>
  <c r="BI463" i="4"/>
  <c r="BI464" i="4"/>
  <c r="BI465" i="4"/>
  <c r="BI466" i="4"/>
  <c r="BI467" i="4"/>
  <c r="BI468" i="4"/>
  <c r="BI469" i="4"/>
  <c r="BI470" i="4"/>
  <c r="BI471" i="4"/>
  <c r="BI472" i="4"/>
  <c r="BI473" i="4"/>
  <c r="BI474" i="4"/>
  <c r="BI475" i="4"/>
  <c r="BI476" i="4"/>
  <c r="BI477" i="4"/>
  <c r="BI478" i="4"/>
  <c r="BI479" i="4"/>
  <c r="BI480" i="4"/>
  <c r="BI481" i="4"/>
  <c r="BI482" i="4"/>
  <c r="BI483" i="4"/>
  <c r="BI484" i="4"/>
  <c r="BI485" i="4"/>
  <c r="BI486" i="4"/>
  <c r="BI487" i="4"/>
  <c r="BI488" i="4"/>
  <c r="BI489" i="4"/>
  <c r="BI490" i="4"/>
  <c r="BI491" i="4"/>
  <c r="BI492" i="4"/>
  <c r="BI493" i="4"/>
  <c r="BI494" i="4"/>
  <c r="BI495" i="4"/>
  <c r="BI496" i="4"/>
  <c r="BI497" i="4"/>
  <c r="BI498" i="4"/>
  <c r="BI499" i="4"/>
  <c r="BI500" i="4"/>
  <c r="BI501" i="4"/>
  <c r="BI502" i="4"/>
  <c r="BI503" i="4"/>
  <c r="BI504" i="4"/>
  <c r="BI505" i="4"/>
  <c r="BI506" i="4"/>
  <c r="BI507" i="4"/>
  <c r="BI508" i="4"/>
  <c r="BI509" i="4"/>
  <c r="BI510" i="4"/>
  <c r="BI511" i="4"/>
  <c r="BI512" i="4"/>
  <c r="BI513" i="4"/>
  <c r="BI514" i="4"/>
  <c r="BI515" i="4"/>
  <c r="BI516" i="4"/>
  <c r="BI517" i="4"/>
  <c r="BI518" i="4"/>
  <c r="BI519" i="4"/>
  <c r="BI520" i="4"/>
  <c r="BI521" i="4"/>
  <c r="BI522" i="4"/>
  <c r="BI523" i="4"/>
  <c r="BI524" i="4"/>
  <c r="BI525" i="4"/>
  <c r="BI526" i="4"/>
  <c r="BI527" i="4"/>
  <c r="BI528" i="4"/>
  <c r="BI529" i="4"/>
  <c r="BI530" i="4"/>
  <c r="BI531" i="4"/>
  <c r="BI532" i="4"/>
  <c r="BI533" i="4"/>
  <c r="BI534" i="4"/>
  <c r="BI535" i="4"/>
  <c r="BI536" i="4"/>
  <c r="BI537" i="4"/>
  <c r="BI538" i="4"/>
  <c r="BI539" i="4"/>
  <c r="BI540" i="4"/>
  <c r="BI541" i="4"/>
  <c r="BI542" i="4"/>
  <c r="BI543" i="4"/>
  <c r="BI544" i="4"/>
  <c r="BI545" i="4"/>
  <c r="BI546" i="4"/>
  <c r="BI547" i="4"/>
  <c r="BI548" i="4"/>
  <c r="BI549" i="4"/>
  <c r="BI550" i="4"/>
  <c r="BI551" i="4"/>
  <c r="BI552" i="4"/>
  <c r="BI553" i="4"/>
  <c r="BI554" i="4"/>
  <c r="BI555" i="4"/>
  <c r="BI556" i="4"/>
  <c r="BI557" i="4"/>
  <c r="BI558" i="4"/>
  <c r="BI559" i="4"/>
  <c r="BI560" i="4"/>
  <c r="BI561" i="4"/>
  <c r="BI562" i="4"/>
  <c r="BI563" i="4"/>
  <c r="BI564" i="4"/>
  <c r="BI565" i="4"/>
  <c r="BI566" i="4"/>
  <c r="BI567" i="4"/>
  <c r="BI568" i="4"/>
  <c r="BI569" i="4"/>
  <c r="BI570" i="4"/>
  <c r="BI571" i="4"/>
  <c r="BI572" i="4"/>
  <c r="BI573" i="4"/>
  <c r="BI574" i="4"/>
  <c r="BI575" i="4"/>
  <c r="BI576" i="4"/>
  <c r="BI577" i="4"/>
  <c r="BI578" i="4"/>
  <c r="BI579" i="4"/>
  <c r="BI580" i="4"/>
  <c r="BI581" i="4"/>
  <c r="BI582" i="4"/>
  <c r="BI583" i="4"/>
  <c r="BI584" i="4"/>
  <c r="BI585" i="4"/>
  <c r="BI586" i="4"/>
  <c r="BI587" i="4"/>
  <c r="BI588" i="4"/>
  <c r="BI589" i="4"/>
  <c r="BI590" i="4"/>
  <c r="BI591" i="4"/>
  <c r="BI592" i="4"/>
  <c r="BI593" i="4"/>
  <c r="BI594" i="4"/>
  <c r="BI595" i="4"/>
  <c r="BI596" i="4"/>
  <c r="BI597" i="4"/>
  <c r="BI598" i="4"/>
  <c r="BI599" i="4"/>
  <c r="BI600" i="4"/>
  <c r="BI601" i="4"/>
  <c r="BI602" i="4"/>
  <c r="BI603" i="4"/>
  <c r="BI604" i="4"/>
  <c r="BI605" i="4"/>
  <c r="BI606" i="4"/>
  <c r="BI607" i="4"/>
  <c r="BI608" i="4"/>
  <c r="BI609" i="4"/>
  <c r="BI610" i="4"/>
  <c r="BI611" i="4"/>
  <c r="BI612" i="4"/>
  <c r="BI613" i="4"/>
  <c r="BI614" i="4"/>
  <c r="BI615" i="4"/>
  <c r="BI616" i="4"/>
  <c r="BI617" i="4"/>
  <c r="BI618" i="4"/>
  <c r="BI619" i="4"/>
  <c r="BI620" i="4"/>
  <c r="BI621" i="4"/>
  <c r="BI622" i="4"/>
  <c r="BI623" i="4"/>
  <c r="BI624" i="4"/>
  <c r="BI625" i="4"/>
  <c r="BI626" i="4"/>
  <c r="BI627" i="4"/>
  <c r="BI628" i="4"/>
  <c r="BI629" i="4"/>
  <c r="BI630" i="4"/>
  <c r="BI631" i="4"/>
  <c r="BI632" i="4"/>
  <c r="BI633" i="4"/>
  <c r="BI634" i="4"/>
  <c r="BI635" i="4"/>
  <c r="BI636" i="4"/>
  <c r="BI637" i="4"/>
  <c r="BI638" i="4"/>
  <c r="BI639" i="4"/>
  <c r="BI640" i="4"/>
  <c r="BI641" i="4"/>
  <c r="BI642" i="4"/>
  <c r="BI643" i="4"/>
  <c r="BI644" i="4"/>
  <c r="BI645" i="4"/>
  <c r="BI646" i="4"/>
  <c r="BI647" i="4"/>
  <c r="BI648" i="4"/>
  <c r="BI649" i="4"/>
  <c r="BI650" i="4"/>
  <c r="BI651" i="4"/>
  <c r="BI652" i="4"/>
  <c r="BI653" i="4"/>
  <c r="BI654" i="4"/>
  <c r="BI655" i="4"/>
  <c r="BI656" i="4"/>
  <c r="BI657" i="4"/>
  <c r="BI658" i="4"/>
  <c r="BI659" i="4"/>
  <c r="BI660" i="4"/>
  <c r="BI661" i="4"/>
  <c r="BI662" i="4"/>
  <c r="BI663" i="4"/>
  <c r="BI664" i="4"/>
  <c r="BI665" i="4"/>
  <c r="BI666" i="4"/>
  <c r="BI667" i="4"/>
  <c r="BI668" i="4"/>
  <c r="BI669" i="4"/>
  <c r="BI670" i="4"/>
  <c r="BI671" i="4"/>
  <c r="BI672" i="4"/>
  <c r="BI673" i="4"/>
  <c r="BI674" i="4"/>
  <c r="BI675" i="4"/>
  <c r="BI676" i="4"/>
  <c r="BI677" i="4"/>
  <c r="BI678" i="4"/>
  <c r="BI679" i="4"/>
  <c r="BI680" i="4"/>
  <c r="BI681" i="4"/>
  <c r="BI682" i="4"/>
  <c r="BI683" i="4"/>
  <c r="BI684" i="4"/>
  <c r="BI685" i="4"/>
  <c r="BI686" i="4"/>
  <c r="BI687" i="4"/>
  <c r="BI688" i="4"/>
  <c r="BI689" i="4"/>
  <c r="BI690" i="4"/>
  <c r="BI691" i="4"/>
  <c r="BI692" i="4"/>
  <c r="BI693" i="4"/>
  <c r="BI694" i="4"/>
  <c r="BI695" i="4"/>
  <c r="BI696" i="4"/>
  <c r="BK2" i="4"/>
  <c r="BK3" i="4"/>
  <c r="BK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98" i="4"/>
  <c r="BK199" i="4"/>
  <c r="BK200" i="4"/>
  <c r="BK201" i="4"/>
  <c r="BK202" i="4"/>
  <c r="BK203" i="4"/>
  <c r="BK204" i="4"/>
  <c r="BK205" i="4"/>
  <c r="BK206" i="4"/>
  <c r="BK207" i="4"/>
  <c r="BK208" i="4"/>
  <c r="BK209" i="4"/>
  <c r="BK210" i="4"/>
  <c r="BK211" i="4"/>
  <c r="BK212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K230" i="4"/>
  <c r="BK231" i="4"/>
  <c r="BK232" i="4"/>
  <c r="BK233" i="4"/>
  <c r="BK234" i="4"/>
  <c r="BK235" i="4"/>
  <c r="BK236" i="4"/>
  <c r="BK237" i="4"/>
  <c r="BK238" i="4"/>
  <c r="BK239" i="4"/>
  <c r="BK240" i="4"/>
  <c r="BK241" i="4"/>
  <c r="BK242" i="4"/>
  <c r="BK243" i="4"/>
  <c r="BK244" i="4"/>
  <c r="BK245" i="4"/>
  <c r="BK246" i="4"/>
  <c r="BK247" i="4"/>
  <c r="BK248" i="4"/>
  <c r="BK249" i="4"/>
  <c r="BK250" i="4"/>
  <c r="BK251" i="4"/>
  <c r="BK252" i="4"/>
  <c r="BK253" i="4"/>
  <c r="BK254" i="4"/>
  <c r="BK255" i="4"/>
  <c r="BK256" i="4"/>
  <c r="BK257" i="4"/>
  <c r="BK258" i="4"/>
  <c r="BK259" i="4"/>
  <c r="BK260" i="4"/>
  <c r="BK261" i="4"/>
  <c r="BK262" i="4"/>
  <c r="BK263" i="4"/>
  <c r="BK264" i="4"/>
  <c r="BK265" i="4"/>
  <c r="BK266" i="4"/>
  <c r="BK267" i="4"/>
  <c r="BK268" i="4"/>
  <c r="BK269" i="4"/>
  <c r="BK270" i="4"/>
  <c r="BK271" i="4"/>
  <c r="BK272" i="4"/>
  <c r="BK273" i="4"/>
  <c r="BK274" i="4"/>
  <c r="BK275" i="4"/>
  <c r="BK276" i="4"/>
  <c r="BK277" i="4"/>
  <c r="BK278" i="4"/>
  <c r="BK279" i="4"/>
  <c r="BK280" i="4"/>
  <c r="BK281" i="4"/>
  <c r="BK282" i="4"/>
  <c r="BK283" i="4"/>
  <c r="BK284" i="4"/>
  <c r="BK285" i="4"/>
  <c r="BK286" i="4"/>
  <c r="BK287" i="4"/>
  <c r="BK288" i="4"/>
  <c r="BK289" i="4"/>
  <c r="BK290" i="4"/>
  <c r="BK291" i="4"/>
  <c r="BK292" i="4"/>
  <c r="BK293" i="4"/>
  <c r="BK294" i="4"/>
  <c r="BK295" i="4"/>
  <c r="BK296" i="4"/>
  <c r="BK297" i="4"/>
  <c r="BK298" i="4"/>
  <c r="BK299" i="4"/>
  <c r="BK300" i="4"/>
  <c r="BK301" i="4"/>
  <c r="BK302" i="4"/>
  <c r="BK303" i="4"/>
  <c r="BK304" i="4"/>
  <c r="BK305" i="4"/>
  <c r="BK306" i="4"/>
  <c r="BK307" i="4"/>
  <c r="BK308" i="4"/>
  <c r="BK309" i="4"/>
  <c r="BK310" i="4"/>
  <c r="BK311" i="4"/>
  <c r="BK312" i="4"/>
  <c r="BK313" i="4"/>
  <c r="BK314" i="4"/>
  <c r="BK315" i="4"/>
  <c r="BK316" i="4"/>
  <c r="BK317" i="4"/>
  <c r="BK318" i="4"/>
  <c r="BK319" i="4"/>
  <c r="BK320" i="4"/>
  <c r="BK321" i="4"/>
  <c r="BK322" i="4"/>
  <c r="BK323" i="4"/>
  <c r="BK324" i="4"/>
  <c r="BK325" i="4"/>
  <c r="BK326" i="4"/>
  <c r="BK327" i="4"/>
  <c r="BK328" i="4"/>
  <c r="BK329" i="4"/>
  <c r="BK330" i="4"/>
  <c r="BK331" i="4"/>
  <c r="BK332" i="4"/>
  <c r="BK333" i="4"/>
  <c r="BK334" i="4"/>
  <c r="BK335" i="4"/>
  <c r="BK336" i="4"/>
  <c r="BK337" i="4"/>
  <c r="BK338" i="4"/>
  <c r="BK339" i="4"/>
  <c r="BK340" i="4"/>
  <c r="BK341" i="4"/>
  <c r="BK342" i="4"/>
  <c r="BK343" i="4"/>
  <c r="BK344" i="4"/>
  <c r="BK345" i="4"/>
  <c r="BK346" i="4"/>
  <c r="BK347" i="4"/>
  <c r="BK348" i="4"/>
  <c r="BK349" i="4"/>
  <c r="BK350" i="4"/>
  <c r="BK351" i="4"/>
  <c r="BK352" i="4"/>
  <c r="BK353" i="4"/>
  <c r="BK354" i="4"/>
  <c r="BK355" i="4"/>
  <c r="BK356" i="4"/>
  <c r="BK357" i="4"/>
  <c r="BK358" i="4"/>
  <c r="BK359" i="4"/>
  <c r="BK360" i="4"/>
  <c r="BK361" i="4"/>
  <c r="BK362" i="4"/>
  <c r="BK363" i="4"/>
  <c r="BK364" i="4"/>
  <c r="BK365" i="4"/>
  <c r="BK366" i="4"/>
  <c r="BK367" i="4"/>
  <c r="BK368" i="4"/>
  <c r="BK369" i="4"/>
  <c r="BK370" i="4"/>
  <c r="BK371" i="4"/>
  <c r="BK372" i="4"/>
  <c r="BK373" i="4"/>
  <c r="BK374" i="4"/>
  <c r="BK375" i="4"/>
  <c r="BK376" i="4"/>
  <c r="BK377" i="4"/>
  <c r="BK378" i="4"/>
  <c r="BK379" i="4"/>
  <c r="BK380" i="4"/>
  <c r="BK381" i="4"/>
  <c r="BK382" i="4"/>
  <c r="BK383" i="4"/>
  <c r="BK384" i="4"/>
  <c r="BK385" i="4"/>
  <c r="BK386" i="4"/>
  <c r="BK387" i="4"/>
  <c r="BK388" i="4"/>
  <c r="BK389" i="4"/>
  <c r="BK390" i="4"/>
  <c r="BK391" i="4"/>
  <c r="BK392" i="4"/>
  <c r="BK393" i="4"/>
  <c r="BK394" i="4"/>
  <c r="BK395" i="4"/>
  <c r="BK396" i="4"/>
  <c r="BK397" i="4"/>
  <c r="BK398" i="4"/>
  <c r="BK399" i="4"/>
  <c r="BK400" i="4"/>
  <c r="BK401" i="4"/>
  <c r="BK402" i="4"/>
  <c r="BK403" i="4"/>
  <c r="BK404" i="4"/>
  <c r="BK405" i="4"/>
  <c r="BK406" i="4"/>
  <c r="BK407" i="4"/>
  <c r="BK408" i="4"/>
  <c r="BK409" i="4"/>
  <c r="BK410" i="4"/>
  <c r="BK411" i="4"/>
  <c r="BK412" i="4"/>
  <c r="BK413" i="4"/>
  <c r="BK414" i="4"/>
  <c r="BK415" i="4"/>
  <c r="BK416" i="4"/>
  <c r="BK417" i="4"/>
  <c r="BK418" i="4"/>
  <c r="BK419" i="4"/>
  <c r="BK420" i="4"/>
  <c r="BK421" i="4"/>
  <c r="BK422" i="4"/>
  <c r="BK423" i="4"/>
  <c r="BK424" i="4"/>
  <c r="BK425" i="4"/>
  <c r="BK426" i="4"/>
  <c r="BK427" i="4"/>
  <c r="BK428" i="4"/>
  <c r="BK429" i="4"/>
  <c r="BK430" i="4"/>
  <c r="BK431" i="4"/>
  <c r="BK432" i="4"/>
  <c r="BK433" i="4"/>
  <c r="BK434" i="4"/>
  <c r="BK435" i="4"/>
  <c r="BK436" i="4"/>
  <c r="BK437" i="4"/>
  <c r="BK438" i="4"/>
  <c r="BK439" i="4"/>
  <c r="BK440" i="4"/>
  <c r="BK441" i="4"/>
  <c r="BK442" i="4"/>
  <c r="BK443" i="4"/>
  <c r="BK444" i="4"/>
  <c r="BK445" i="4"/>
  <c r="BK446" i="4"/>
  <c r="BK447" i="4"/>
  <c r="BK448" i="4"/>
  <c r="BK449" i="4"/>
  <c r="BK450" i="4"/>
  <c r="BK451" i="4"/>
  <c r="BK452" i="4"/>
  <c r="BK453" i="4"/>
  <c r="BK454" i="4"/>
  <c r="BK455" i="4"/>
  <c r="BK456" i="4"/>
  <c r="BK457" i="4"/>
  <c r="BK458" i="4"/>
  <c r="BK459" i="4"/>
  <c r="BK460" i="4"/>
  <c r="BK461" i="4"/>
  <c r="BK462" i="4"/>
  <c r="BK463" i="4"/>
  <c r="BK464" i="4"/>
  <c r="BK465" i="4"/>
  <c r="BK466" i="4"/>
  <c r="BK467" i="4"/>
  <c r="BK468" i="4"/>
  <c r="BK469" i="4"/>
  <c r="BK470" i="4"/>
  <c r="BK471" i="4"/>
  <c r="BK472" i="4"/>
  <c r="BK473" i="4"/>
  <c r="BK474" i="4"/>
  <c r="BK475" i="4"/>
  <c r="BK476" i="4"/>
  <c r="BK477" i="4"/>
  <c r="BK478" i="4"/>
  <c r="BK479" i="4"/>
  <c r="BK480" i="4"/>
  <c r="BK481" i="4"/>
  <c r="BK482" i="4"/>
  <c r="BK483" i="4"/>
  <c r="BK484" i="4"/>
  <c r="BK485" i="4"/>
  <c r="BK486" i="4"/>
  <c r="BK487" i="4"/>
  <c r="BK488" i="4"/>
  <c r="BK489" i="4"/>
  <c r="BK490" i="4"/>
  <c r="BK491" i="4"/>
  <c r="BK492" i="4"/>
  <c r="BK493" i="4"/>
  <c r="BK494" i="4"/>
  <c r="BK495" i="4"/>
  <c r="BK496" i="4"/>
  <c r="BK497" i="4"/>
  <c r="BK498" i="4"/>
  <c r="BK499" i="4"/>
  <c r="BK500" i="4"/>
  <c r="BK501" i="4"/>
  <c r="BK502" i="4"/>
  <c r="BK503" i="4"/>
  <c r="BK504" i="4"/>
  <c r="BK505" i="4"/>
  <c r="BK506" i="4"/>
  <c r="BK507" i="4"/>
  <c r="BK508" i="4"/>
  <c r="BK509" i="4"/>
  <c r="BK510" i="4"/>
  <c r="BK511" i="4"/>
  <c r="BK512" i="4"/>
  <c r="BK513" i="4"/>
  <c r="BK514" i="4"/>
  <c r="BK515" i="4"/>
  <c r="BK516" i="4"/>
  <c r="BK517" i="4"/>
  <c r="BK518" i="4"/>
  <c r="BK519" i="4"/>
  <c r="BK520" i="4"/>
  <c r="BK521" i="4"/>
  <c r="BK522" i="4"/>
  <c r="BK523" i="4"/>
  <c r="BK524" i="4"/>
  <c r="BK525" i="4"/>
  <c r="BK526" i="4"/>
  <c r="BK527" i="4"/>
  <c r="BK528" i="4"/>
  <c r="BK529" i="4"/>
  <c r="BK530" i="4"/>
  <c r="BK531" i="4"/>
  <c r="BK532" i="4"/>
  <c r="BK533" i="4"/>
  <c r="BK534" i="4"/>
  <c r="BK535" i="4"/>
  <c r="BK536" i="4"/>
  <c r="BK537" i="4"/>
  <c r="BK538" i="4"/>
  <c r="BK539" i="4"/>
  <c r="BK540" i="4"/>
  <c r="BK541" i="4"/>
  <c r="BK542" i="4"/>
  <c r="BK543" i="4"/>
  <c r="BK544" i="4"/>
  <c r="BK545" i="4"/>
  <c r="BK546" i="4"/>
  <c r="BK547" i="4"/>
  <c r="BK548" i="4"/>
  <c r="BK549" i="4"/>
  <c r="BK550" i="4"/>
  <c r="BK551" i="4"/>
  <c r="BK552" i="4"/>
  <c r="BK553" i="4"/>
  <c r="BK554" i="4"/>
  <c r="BK555" i="4"/>
  <c r="BK556" i="4"/>
  <c r="BK557" i="4"/>
  <c r="BK558" i="4"/>
  <c r="BK559" i="4"/>
  <c r="BK560" i="4"/>
  <c r="BK561" i="4"/>
  <c r="BK562" i="4"/>
  <c r="BK563" i="4"/>
  <c r="BK564" i="4"/>
  <c r="BK565" i="4"/>
  <c r="BK566" i="4"/>
  <c r="BK567" i="4"/>
  <c r="BK568" i="4"/>
  <c r="BK569" i="4"/>
  <c r="BK570" i="4"/>
  <c r="BK571" i="4"/>
  <c r="BK572" i="4"/>
  <c r="BK573" i="4"/>
  <c r="BK574" i="4"/>
  <c r="BK575" i="4"/>
  <c r="BK576" i="4"/>
  <c r="BK577" i="4"/>
  <c r="BK578" i="4"/>
  <c r="BK579" i="4"/>
  <c r="BK580" i="4"/>
  <c r="BK581" i="4"/>
  <c r="BK582" i="4"/>
  <c r="BK583" i="4"/>
  <c r="BK584" i="4"/>
  <c r="BK585" i="4"/>
  <c r="BK586" i="4"/>
  <c r="BK587" i="4"/>
  <c r="BK588" i="4"/>
  <c r="BK589" i="4"/>
  <c r="BK590" i="4"/>
  <c r="BK591" i="4"/>
  <c r="BK592" i="4"/>
  <c r="BK593" i="4"/>
  <c r="BK594" i="4"/>
  <c r="BK595" i="4"/>
  <c r="BK596" i="4"/>
  <c r="BK597" i="4"/>
  <c r="BK598" i="4"/>
  <c r="BK599" i="4"/>
  <c r="BK600" i="4"/>
  <c r="BK601" i="4"/>
  <c r="BK602" i="4"/>
  <c r="BK603" i="4"/>
  <c r="BK604" i="4"/>
  <c r="BK605" i="4"/>
  <c r="BK606" i="4"/>
  <c r="BK607" i="4"/>
  <c r="BK608" i="4"/>
  <c r="BK609" i="4"/>
  <c r="BK610" i="4"/>
  <c r="BK611" i="4"/>
  <c r="BK612" i="4"/>
  <c r="BK613" i="4"/>
  <c r="BK614" i="4"/>
  <c r="BK615" i="4"/>
  <c r="BK616" i="4"/>
  <c r="BK617" i="4"/>
  <c r="BK618" i="4"/>
  <c r="BK619" i="4"/>
  <c r="BK620" i="4"/>
  <c r="BK621" i="4"/>
  <c r="BK622" i="4"/>
  <c r="BK623" i="4"/>
  <c r="BK624" i="4"/>
  <c r="BK625" i="4"/>
  <c r="BK626" i="4"/>
  <c r="BK627" i="4"/>
  <c r="BK628" i="4"/>
  <c r="BK629" i="4"/>
  <c r="BK630" i="4"/>
  <c r="BK631" i="4"/>
  <c r="BK632" i="4"/>
  <c r="BK633" i="4"/>
  <c r="BK634" i="4"/>
  <c r="BK635" i="4"/>
  <c r="BK636" i="4"/>
  <c r="BK637" i="4"/>
  <c r="BK638" i="4"/>
  <c r="BK639" i="4"/>
  <c r="BK640" i="4"/>
  <c r="BK641" i="4"/>
  <c r="BK642" i="4"/>
  <c r="BK643" i="4"/>
  <c r="BK644" i="4"/>
  <c r="BK645" i="4"/>
  <c r="BK646" i="4"/>
  <c r="BK647" i="4"/>
  <c r="BK648" i="4"/>
  <c r="BK649" i="4"/>
  <c r="BK650" i="4"/>
  <c r="BK651" i="4"/>
  <c r="BK652" i="4"/>
  <c r="BK653" i="4"/>
  <c r="BK654" i="4"/>
  <c r="BK655" i="4"/>
  <c r="BK656" i="4"/>
  <c r="BK657" i="4"/>
  <c r="BK658" i="4"/>
  <c r="BK659" i="4"/>
  <c r="BK660" i="4"/>
  <c r="BK661" i="4"/>
  <c r="BK662" i="4"/>
  <c r="BK663" i="4"/>
  <c r="BK664" i="4"/>
  <c r="BK665" i="4"/>
  <c r="BK666" i="4"/>
  <c r="BK667" i="4"/>
  <c r="BK668" i="4"/>
  <c r="BK669" i="4"/>
  <c r="BK670" i="4"/>
  <c r="BK671" i="4"/>
  <c r="BK672" i="4"/>
  <c r="BK673" i="4"/>
  <c r="BK674" i="4"/>
  <c r="BK675" i="4"/>
  <c r="BK676" i="4"/>
  <c r="BK677" i="4"/>
  <c r="BK678" i="4"/>
  <c r="BK679" i="4"/>
  <c r="BK680" i="4"/>
  <c r="BK681" i="4"/>
  <c r="BK682" i="4"/>
  <c r="BK683" i="4"/>
  <c r="BK684" i="4"/>
  <c r="BK685" i="4"/>
  <c r="BK686" i="4"/>
  <c r="BK687" i="4"/>
  <c r="BK688" i="4"/>
  <c r="BK689" i="4"/>
  <c r="BK690" i="4"/>
  <c r="BK691" i="4"/>
  <c r="BK692" i="4"/>
  <c r="BK693" i="4"/>
  <c r="BK694" i="4"/>
  <c r="BK695" i="4"/>
  <c r="BK696" i="4"/>
  <c r="BH695" i="4"/>
  <c r="BH694" i="4"/>
  <c r="BH693" i="4"/>
  <c r="BH692" i="4"/>
  <c r="BH690" i="4"/>
  <c r="BH689" i="4"/>
  <c r="BH687" i="4"/>
  <c r="BH685" i="4"/>
  <c r="BH683" i="4"/>
  <c r="BH682" i="4"/>
  <c r="BH681" i="4"/>
  <c r="BH680" i="4"/>
  <c r="BH679" i="4"/>
  <c r="BH678" i="4"/>
  <c r="BH677" i="4"/>
  <c r="BH676" i="4"/>
  <c r="BH673" i="4"/>
  <c r="BH671" i="4"/>
  <c r="BH670" i="4"/>
  <c r="BH669" i="4"/>
  <c r="BH668" i="4"/>
  <c r="BH666" i="4"/>
  <c r="BH665" i="4"/>
  <c r="BH664" i="4"/>
  <c r="BH663" i="4"/>
  <c r="BH661" i="4"/>
  <c r="BH659" i="4"/>
  <c r="BH658" i="4"/>
  <c r="BH657" i="4"/>
  <c r="BH656" i="4"/>
  <c r="BH654" i="4"/>
  <c r="BH652" i="4"/>
  <c r="BH651" i="4"/>
  <c r="BH649" i="4"/>
  <c r="BH647" i="4"/>
  <c r="BH646" i="4"/>
  <c r="BH645" i="4"/>
  <c r="BH644" i="4"/>
  <c r="BH643" i="4"/>
  <c r="BH642" i="4"/>
  <c r="BH641" i="4"/>
  <c r="BH640" i="4"/>
  <c r="BH637" i="4"/>
  <c r="BH635" i="4"/>
  <c r="BH634" i="4"/>
  <c r="BH633" i="4"/>
  <c r="BH632" i="4"/>
  <c r="BH631" i="4"/>
  <c r="BH630" i="4"/>
  <c r="BH629" i="4"/>
  <c r="BH628" i="4"/>
  <c r="BH627" i="4"/>
  <c r="BH625" i="4"/>
  <c r="BH623" i="4"/>
  <c r="BH622" i="4"/>
  <c r="BH621" i="4"/>
  <c r="BH620" i="4"/>
  <c r="BH618" i="4"/>
  <c r="BH617" i="4"/>
  <c r="BH615" i="4"/>
  <c r="BH613" i="4"/>
  <c r="BH611" i="4"/>
  <c r="BH610" i="4"/>
  <c r="BH609" i="4"/>
  <c r="BH612" i="4"/>
  <c r="BH614" i="4"/>
  <c r="BH616" i="4"/>
  <c r="BH619" i="4"/>
  <c r="BH624" i="4"/>
  <c r="BH626" i="4"/>
  <c r="BH636" i="4"/>
  <c r="BH638" i="4"/>
  <c r="BH639" i="4"/>
  <c r="BH648" i="4"/>
  <c r="BH650" i="4"/>
  <c r="BH653" i="4"/>
  <c r="BH655" i="4"/>
  <c r="BH660" i="4"/>
  <c r="BH662" i="4"/>
  <c r="BH667" i="4"/>
  <c r="BH672" i="4"/>
  <c r="BH674" i="4"/>
  <c r="BH675" i="4"/>
  <c r="BH684" i="4"/>
  <c r="BH686" i="4"/>
  <c r="BH688" i="4"/>
  <c r="BH691" i="4"/>
  <c r="BH696" i="4"/>
  <c r="BL609" i="4"/>
  <c r="BL610" i="4"/>
  <c r="BL611" i="4"/>
  <c r="BL612" i="4"/>
  <c r="BL613" i="4"/>
  <c r="BL614" i="4"/>
  <c r="BL615" i="4"/>
  <c r="BL616" i="4"/>
  <c r="BL617" i="4"/>
  <c r="BL618" i="4"/>
  <c r="BL619" i="4"/>
  <c r="BL620" i="4"/>
  <c r="BL621" i="4"/>
  <c r="BL622" i="4"/>
  <c r="BL623" i="4"/>
  <c r="BL624" i="4"/>
  <c r="BL625" i="4"/>
  <c r="BL626" i="4"/>
  <c r="BL627" i="4"/>
  <c r="BL628" i="4"/>
  <c r="BL629" i="4"/>
  <c r="BL630" i="4"/>
  <c r="BL631" i="4"/>
  <c r="BL632" i="4"/>
  <c r="BL633" i="4"/>
  <c r="BL634" i="4"/>
  <c r="BL635" i="4"/>
  <c r="BL636" i="4"/>
  <c r="BL637" i="4"/>
  <c r="BL638" i="4"/>
  <c r="BL639" i="4"/>
  <c r="BL640" i="4"/>
  <c r="BL641" i="4"/>
  <c r="BL642" i="4"/>
  <c r="BL643" i="4"/>
  <c r="BL644" i="4"/>
  <c r="BL645" i="4"/>
  <c r="BL646" i="4"/>
  <c r="BL647" i="4"/>
  <c r="BL648" i="4"/>
  <c r="BL649" i="4"/>
  <c r="BL650" i="4"/>
  <c r="BL651" i="4"/>
  <c r="BL652" i="4"/>
  <c r="BL653" i="4"/>
  <c r="BL654" i="4"/>
  <c r="BL655" i="4"/>
  <c r="BL656" i="4"/>
  <c r="BL657" i="4"/>
  <c r="BL658" i="4"/>
  <c r="BL659" i="4"/>
  <c r="BL660" i="4"/>
  <c r="BL661" i="4"/>
  <c r="BL662" i="4"/>
  <c r="BL663" i="4"/>
  <c r="BL664" i="4"/>
  <c r="BL665" i="4"/>
  <c r="BL666" i="4"/>
  <c r="BL667" i="4"/>
  <c r="BL668" i="4"/>
  <c r="BL669" i="4"/>
  <c r="BL670" i="4"/>
  <c r="BL671" i="4"/>
  <c r="BL672" i="4"/>
  <c r="BL673" i="4"/>
  <c r="BL674" i="4"/>
  <c r="BL675" i="4"/>
  <c r="BL676" i="4"/>
  <c r="BL677" i="4"/>
  <c r="BL678" i="4"/>
  <c r="BL679" i="4"/>
  <c r="BL680" i="4"/>
  <c r="BL681" i="4"/>
  <c r="BL682" i="4"/>
  <c r="BL683" i="4"/>
  <c r="BL684" i="4"/>
  <c r="BL685" i="4"/>
  <c r="BL686" i="4"/>
  <c r="BL687" i="4"/>
  <c r="BL688" i="4"/>
  <c r="BL689" i="4"/>
  <c r="BL690" i="4"/>
  <c r="BL691" i="4"/>
  <c r="BL692" i="4"/>
  <c r="BL693" i="4"/>
  <c r="BL694" i="4"/>
  <c r="BL695" i="4"/>
  <c r="BL696" i="4"/>
  <c r="BM609" i="4"/>
  <c r="BM610" i="4"/>
  <c r="BM611" i="4"/>
  <c r="BM612" i="4"/>
  <c r="BM613" i="4"/>
  <c r="BM614" i="4"/>
  <c r="BM615" i="4"/>
  <c r="BM616" i="4"/>
  <c r="BM617" i="4"/>
  <c r="BM618" i="4"/>
  <c r="BM619" i="4"/>
  <c r="BM620" i="4"/>
  <c r="BM621" i="4"/>
  <c r="BM622" i="4"/>
  <c r="BM623" i="4"/>
  <c r="BM624" i="4"/>
  <c r="BM625" i="4"/>
  <c r="BM626" i="4"/>
  <c r="BM627" i="4"/>
  <c r="BM628" i="4"/>
  <c r="BM629" i="4"/>
  <c r="BM630" i="4"/>
  <c r="BM631" i="4"/>
  <c r="BM632" i="4"/>
  <c r="BM633" i="4"/>
  <c r="BM634" i="4"/>
  <c r="BM635" i="4"/>
  <c r="BM636" i="4"/>
  <c r="BM637" i="4"/>
  <c r="BM638" i="4"/>
  <c r="BM639" i="4"/>
  <c r="BM640" i="4"/>
  <c r="BM641" i="4"/>
  <c r="BM642" i="4"/>
  <c r="BM643" i="4"/>
  <c r="BM644" i="4"/>
  <c r="BM645" i="4"/>
  <c r="BM646" i="4"/>
  <c r="BM647" i="4"/>
  <c r="BM648" i="4"/>
  <c r="BM649" i="4"/>
  <c r="BM650" i="4"/>
  <c r="BM651" i="4"/>
  <c r="BM652" i="4"/>
  <c r="BM653" i="4"/>
  <c r="BM654" i="4"/>
  <c r="BM655" i="4"/>
  <c r="BM656" i="4"/>
  <c r="BM657" i="4"/>
  <c r="BM658" i="4"/>
  <c r="BM659" i="4"/>
  <c r="BM660" i="4"/>
  <c r="BM661" i="4"/>
  <c r="BM662" i="4"/>
  <c r="BM663" i="4"/>
  <c r="BM664" i="4"/>
  <c r="BM665" i="4"/>
  <c r="BM666" i="4"/>
  <c r="BM667" i="4"/>
  <c r="BM668" i="4"/>
  <c r="BM669" i="4"/>
  <c r="BM670" i="4"/>
  <c r="BM671" i="4"/>
  <c r="BM672" i="4"/>
  <c r="BM673" i="4"/>
  <c r="BM674" i="4"/>
  <c r="BM675" i="4"/>
  <c r="BM676" i="4"/>
  <c r="BM677" i="4"/>
  <c r="BM678" i="4"/>
  <c r="BM679" i="4"/>
  <c r="BM680" i="4"/>
  <c r="BM681" i="4"/>
  <c r="BM682" i="4"/>
  <c r="BM683" i="4"/>
  <c r="BM684" i="4"/>
  <c r="BM685" i="4"/>
  <c r="BM686" i="4"/>
  <c r="BM687" i="4"/>
  <c r="BM688" i="4"/>
  <c r="BM689" i="4"/>
  <c r="BM690" i="4"/>
  <c r="BM691" i="4"/>
  <c r="BM692" i="4"/>
  <c r="BM693" i="4"/>
  <c r="BM694" i="4"/>
  <c r="BM695" i="4"/>
  <c r="BM696" i="4"/>
  <c r="BO609" i="4"/>
  <c r="BO610" i="4"/>
  <c r="BO611" i="4"/>
  <c r="BO612" i="4"/>
  <c r="BO613" i="4"/>
  <c r="BO614" i="4"/>
  <c r="BO615" i="4"/>
  <c r="BO616" i="4"/>
  <c r="BO617" i="4"/>
  <c r="BO618" i="4"/>
  <c r="BO619" i="4"/>
  <c r="BO620" i="4"/>
  <c r="BO621" i="4"/>
  <c r="BO622" i="4"/>
  <c r="BO623" i="4"/>
  <c r="BO624" i="4"/>
  <c r="BO625" i="4"/>
  <c r="BO626" i="4"/>
  <c r="BO627" i="4"/>
  <c r="BO628" i="4"/>
  <c r="BO629" i="4"/>
  <c r="BO630" i="4"/>
  <c r="BO631" i="4"/>
  <c r="BO632" i="4"/>
  <c r="BO633" i="4"/>
  <c r="BO634" i="4"/>
  <c r="BO635" i="4"/>
  <c r="BO636" i="4"/>
  <c r="BO637" i="4"/>
  <c r="BO638" i="4"/>
  <c r="BO639" i="4"/>
  <c r="BO640" i="4"/>
  <c r="BO641" i="4"/>
  <c r="BO642" i="4"/>
  <c r="BO643" i="4"/>
  <c r="BO644" i="4"/>
  <c r="BO645" i="4"/>
  <c r="BO646" i="4"/>
  <c r="BO647" i="4"/>
  <c r="BO648" i="4"/>
  <c r="BO649" i="4"/>
  <c r="BO650" i="4"/>
  <c r="BO651" i="4"/>
  <c r="BO652" i="4"/>
  <c r="BO653" i="4"/>
  <c r="BO654" i="4"/>
  <c r="BO655" i="4"/>
  <c r="BO656" i="4"/>
  <c r="BO657" i="4"/>
  <c r="BO658" i="4"/>
  <c r="BO659" i="4"/>
  <c r="BO660" i="4"/>
  <c r="BO661" i="4"/>
  <c r="BO662" i="4"/>
  <c r="BO663" i="4"/>
  <c r="BO664" i="4"/>
  <c r="BO665" i="4"/>
  <c r="BO666" i="4"/>
  <c r="BO667" i="4"/>
  <c r="BO668" i="4"/>
  <c r="BO669" i="4"/>
  <c r="BO670" i="4"/>
  <c r="BO671" i="4"/>
  <c r="BO672" i="4"/>
  <c r="BO673" i="4"/>
  <c r="BO674" i="4"/>
  <c r="BO675" i="4"/>
  <c r="BO676" i="4"/>
  <c r="BO677" i="4"/>
  <c r="BO678" i="4"/>
  <c r="BO679" i="4"/>
  <c r="BO680" i="4"/>
  <c r="BO681" i="4"/>
  <c r="BO682" i="4"/>
  <c r="BO683" i="4"/>
  <c r="BO684" i="4"/>
  <c r="BO685" i="4"/>
  <c r="BO686" i="4"/>
  <c r="BO687" i="4"/>
  <c r="BO688" i="4"/>
  <c r="BO689" i="4"/>
  <c r="BO690" i="4"/>
  <c r="BO691" i="4"/>
  <c r="BO692" i="4"/>
  <c r="BO693" i="4"/>
  <c r="BO694" i="4"/>
  <c r="BO695" i="4"/>
  <c r="BO696" i="4"/>
  <c r="B26" i="2"/>
  <c r="B25" i="2"/>
  <c r="J11" i="2"/>
  <c r="J10" i="2"/>
  <c r="J4" i="2"/>
  <c r="J3" i="2"/>
  <c r="J2" i="2"/>
  <c r="J19" i="2"/>
  <c r="J18" i="2"/>
  <c r="J17" i="2"/>
  <c r="BV133" i="4" l="1"/>
  <c r="BV121" i="4"/>
  <c r="BV109" i="4"/>
  <c r="BV97" i="4"/>
  <c r="BV85" i="4"/>
  <c r="BV73" i="4"/>
  <c r="BV61" i="4"/>
  <c r="BV49" i="4"/>
  <c r="BV37" i="4"/>
  <c r="BV25" i="4"/>
  <c r="BV13" i="4"/>
  <c r="BV696" i="4"/>
  <c r="BV684" i="4"/>
  <c r="BV672" i="4"/>
  <c r="BV660" i="4"/>
  <c r="BV648" i="4"/>
  <c r="BV636" i="4"/>
  <c r="BV624" i="4"/>
  <c r="BV612" i="4"/>
  <c r="BV600" i="4"/>
  <c r="BV588" i="4"/>
  <c r="BV576" i="4"/>
  <c r="BV564" i="4"/>
  <c r="BV552" i="4"/>
  <c r="BV540" i="4"/>
  <c r="BV528" i="4"/>
  <c r="BV516" i="4"/>
  <c r="BV504" i="4"/>
  <c r="BV492" i="4"/>
  <c r="BV480" i="4"/>
  <c r="BV468" i="4"/>
  <c r="BV456" i="4"/>
  <c r="BV444" i="4"/>
  <c r="BV432" i="4"/>
  <c r="BV420" i="4"/>
  <c r="BV408" i="4"/>
  <c r="BV396" i="4"/>
  <c r="BV384" i="4"/>
  <c r="BV372" i="4"/>
  <c r="BV360" i="4"/>
  <c r="BV348" i="4"/>
  <c r="BV336" i="4"/>
  <c r="BV324" i="4"/>
  <c r="BV312" i="4"/>
  <c r="BV300" i="4"/>
  <c r="BV288" i="4"/>
  <c r="BV276" i="4"/>
  <c r="BV264" i="4"/>
  <c r="BV252" i="4"/>
  <c r="BV240" i="4"/>
  <c r="BV228" i="4"/>
  <c r="BV216" i="4"/>
  <c r="BV204" i="4"/>
  <c r="BV192" i="4"/>
  <c r="BV180" i="4"/>
  <c r="BV168" i="4"/>
  <c r="BV156" i="4"/>
  <c r="BV144" i="4"/>
  <c r="BV132" i="4"/>
  <c r="BV120" i="4"/>
  <c r="BV108" i="4"/>
  <c r="BV96" i="4"/>
  <c r="BV84" i="4"/>
  <c r="BV72" i="4"/>
  <c r="BV60" i="4"/>
  <c r="BV48" i="4"/>
  <c r="BV36" i="4"/>
  <c r="BV24" i="4"/>
  <c r="BV12" i="4"/>
  <c r="BV341" i="4"/>
  <c r="BV329" i="4"/>
  <c r="BV317" i="4"/>
  <c r="BV305" i="4"/>
  <c r="BV293" i="4"/>
  <c r="BV281" i="4"/>
  <c r="BV269" i="4"/>
  <c r="BV257" i="4"/>
  <c r="BV245" i="4"/>
  <c r="BV233" i="4"/>
  <c r="BV221" i="4"/>
  <c r="BV209" i="4"/>
  <c r="BV197" i="4"/>
  <c r="BV185" i="4"/>
  <c r="BV173" i="4"/>
  <c r="BV161" i="4"/>
  <c r="BV149" i="4"/>
  <c r="BV137" i="4"/>
  <c r="BV125" i="4"/>
  <c r="BV113" i="4"/>
  <c r="BV101" i="4"/>
  <c r="BV89" i="4"/>
  <c r="BV77" i="4"/>
  <c r="BV65" i="4"/>
  <c r="BV53" i="4"/>
  <c r="BV41" i="4"/>
  <c r="BV29" i="4"/>
  <c r="BV17" i="4"/>
  <c r="BV5" i="4"/>
  <c r="BV688" i="4"/>
  <c r="BV676" i="4"/>
  <c r="BV664" i="4"/>
  <c r="BV652" i="4"/>
  <c r="BV640" i="4"/>
  <c r="BV628" i="4"/>
  <c r="BV616" i="4"/>
  <c r="BV604" i="4"/>
  <c r="BV592" i="4"/>
  <c r="BV580" i="4"/>
  <c r="BV568" i="4"/>
  <c r="BV556" i="4"/>
  <c r="BV544" i="4"/>
  <c r="BV532" i="4"/>
  <c r="BV520" i="4"/>
  <c r="BV508" i="4"/>
  <c r="BV496" i="4"/>
  <c r="BV484" i="4"/>
  <c r="BV472" i="4"/>
  <c r="BX698" i="4"/>
  <c r="CA698" i="4" s="1"/>
  <c r="BV685" i="4"/>
  <c r="BV673" i="4"/>
  <c r="BV661" i="4"/>
  <c r="BV649" i="4"/>
  <c r="BV637" i="4"/>
  <c r="BV625" i="4"/>
  <c r="BV613" i="4"/>
  <c r="BV601" i="4"/>
  <c r="BV589" i="4"/>
  <c r="BV577" i="4"/>
  <c r="BV565" i="4"/>
  <c r="BV553" i="4"/>
  <c r="BV541" i="4"/>
  <c r="BV529" i="4"/>
  <c r="BV517" i="4"/>
  <c r="BV505" i="4"/>
  <c r="BV493" i="4"/>
  <c r="BV481" i="4"/>
  <c r="BV469" i="4"/>
  <c r="BV457" i="4"/>
  <c r="BV445" i="4"/>
  <c r="BV433" i="4"/>
  <c r="BV421" i="4"/>
  <c r="BV409" i="4"/>
  <c r="BV397" i="4"/>
  <c r="BV385" i="4"/>
  <c r="BV373" i="4"/>
  <c r="BV361" i="4"/>
  <c r="BV349" i="4"/>
  <c r="BV337" i="4"/>
  <c r="BV325" i="4"/>
  <c r="BV313" i="4"/>
  <c r="BV301" i="4"/>
  <c r="BV289" i="4"/>
  <c r="BV277" i="4"/>
  <c r="BV265" i="4"/>
  <c r="BV253" i="4"/>
  <c r="BV241" i="4"/>
  <c r="BV229" i="4"/>
  <c r="BV217" i="4"/>
  <c r="BV205" i="4"/>
  <c r="BV193" i="4"/>
  <c r="BV181" i="4"/>
  <c r="BV169" i="4"/>
  <c r="BV157" i="4"/>
  <c r="BV145" i="4"/>
  <c r="BX697" i="4"/>
  <c r="CA697" i="4" s="1"/>
  <c r="BV460" i="4"/>
  <c r="BV448" i="4"/>
  <c r="BV436" i="4"/>
  <c r="BV424" i="4"/>
  <c r="BV412" i="4"/>
  <c r="BV400" i="4"/>
  <c r="BV388" i="4"/>
  <c r="BV376" i="4"/>
  <c r="BV364" i="4"/>
  <c r="BV352" i="4"/>
  <c r="BV340" i="4"/>
  <c r="BV328" i="4"/>
  <c r="BV316" i="4"/>
  <c r="BV304" i="4"/>
  <c r="BV292" i="4"/>
  <c r="BV280" i="4"/>
  <c r="BV268" i="4"/>
  <c r="BV256" i="4"/>
  <c r="BV244" i="4"/>
  <c r="BV232" i="4"/>
  <c r="BV220" i="4"/>
  <c r="BV208" i="4"/>
  <c r="BV196" i="4"/>
  <c r="BV184" i="4"/>
  <c r="BV172" i="4"/>
  <c r="BV160" i="4"/>
  <c r="BV148" i="4"/>
  <c r="BV136" i="4"/>
  <c r="BV124" i="4"/>
  <c r="BV112" i="4"/>
  <c r="BV100" i="4"/>
  <c r="BV88" i="4"/>
  <c r="BV76" i="4"/>
  <c r="BV64" i="4"/>
  <c r="BV52" i="4"/>
  <c r="BV40" i="4"/>
  <c r="BV28" i="4"/>
  <c r="BV16" i="4"/>
  <c r="BV4" i="4"/>
  <c r="BQ674" i="4"/>
  <c r="BW674" i="4" s="1"/>
  <c r="BY674" i="4" s="1"/>
  <c r="BQ666" i="4"/>
  <c r="BW666" i="4" s="1"/>
  <c r="BY666" i="4" s="1"/>
  <c r="BV691" i="4"/>
  <c r="BV679" i="4"/>
  <c r="BV667" i="4"/>
  <c r="BV655" i="4"/>
  <c r="BV643" i="4"/>
  <c r="BV631" i="4"/>
  <c r="BV619" i="4"/>
  <c r="BV607" i="4"/>
  <c r="BV595" i="4"/>
  <c r="BV583" i="4"/>
  <c r="BV571" i="4"/>
  <c r="BV559" i="4"/>
  <c r="BV547" i="4"/>
  <c r="BV535" i="4"/>
  <c r="BV523" i="4"/>
  <c r="BV511" i="4"/>
  <c r="BV499" i="4"/>
  <c r="BV487" i="4"/>
  <c r="BV475" i="4"/>
  <c r="BV463" i="4"/>
  <c r="BV451" i="4"/>
  <c r="BV439" i="4"/>
  <c r="BV427" i="4"/>
  <c r="BV415" i="4"/>
  <c r="BV403" i="4"/>
  <c r="BV391" i="4"/>
  <c r="BV379" i="4"/>
  <c r="BV367" i="4"/>
  <c r="BV355" i="4"/>
  <c r="BV343" i="4"/>
  <c r="BV331" i="4"/>
  <c r="BV319" i="4"/>
  <c r="BV307" i="4"/>
  <c r="BV295" i="4"/>
  <c r="BV283" i="4"/>
  <c r="BQ626" i="4"/>
  <c r="BW626" i="4" s="1"/>
  <c r="BY626" i="4" s="1"/>
  <c r="BQ649" i="4"/>
  <c r="BW649" i="4" s="1"/>
  <c r="BY649" i="4" s="1"/>
  <c r="BQ634" i="4"/>
  <c r="BW634" i="4" s="1"/>
  <c r="BY634" i="4" s="1"/>
  <c r="BV690" i="4"/>
  <c r="BV678" i="4"/>
  <c r="BV666" i="4"/>
  <c r="BV654" i="4"/>
  <c r="BV642" i="4"/>
  <c r="BV630" i="4"/>
  <c r="BV618" i="4"/>
  <c r="BV606" i="4"/>
  <c r="BV594" i="4"/>
  <c r="BV582" i="4"/>
  <c r="BV570" i="4"/>
  <c r="BV558" i="4"/>
  <c r="BV546" i="4"/>
  <c r="BV534" i="4"/>
  <c r="BV522" i="4"/>
  <c r="BV510" i="4"/>
  <c r="BV498" i="4"/>
  <c r="BV486" i="4"/>
  <c r="BV474" i="4"/>
  <c r="BV462" i="4"/>
  <c r="BV450" i="4"/>
  <c r="BV438" i="4"/>
  <c r="BV426" i="4"/>
  <c r="BV414" i="4"/>
  <c r="BV402" i="4"/>
  <c r="BV390" i="4"/>
  <c r="BV378" i="4"/>
  <c r="BV366" i="4"/>
  <c r="BV354" i="4"/>
  <c r="BV342" i="4"/>
  <c r="BV330" i="4"/>
  <c r="BV318" i="4"/>
  <c r="BV306" i="4"/>
  <c r="BV294" i="4"/>
  <c r="BV282" i="4"/>
  <c r="BV270" i="4"/>
  <c r="BV258" i="4"/>
  <c r="BV246" i="4"/>
  <c r="BV234" i="4"/>
  <c r="BV222" i="4"/>
  <c r="BV210" i="4"/>
  <c r="BV198" i="4"/>
  <c r="BV186" i="4"/>
  <c r="BV174" i="4"/>
  <c r="BV162" i="4"/>
  <c r="BV150" i="4"/>
  <c r="BV138" i="4"/>
  <c r="BV126" i="4"/>
  <c r="BV114" i="4"/>
  <c r="BV102" i="4"/>
  <c r="BV90" i="4"/>
  <c r="BV78" i="4"/>
  <c r="BV66" i="4"/>
  <c r="BV54" i="4"/>
  <c r="BV42" i="4"/>
  <c r="BV30" i="4"/>
  <c r="BV18" i="4"/>
  <c r="BV6" i="4"/>
  <c r="BQ665" i="4"/>
  <c r="BW665" i="4" s="1"/>
  <c r="BY665" i="4" s="1"/>
  <c r="BQ618" i="4"/>
  <c r="BW618" i="4" s="1"/>
  <c r="BY618" i="4" s="1"/>
  <c r="BQ633" i="4"/>
  <c r="BW633" i="4" s="1"/>
  <c r="BY633" i="4" s="1"/>
  <c r="BQ682" i="4"/>
  <c r="BW682" i="4" s="1"/>
  <c r="BY682" i="4" s="1"/>
  <c r="BQ672" i="4"/>
  <c r="BW672" i="4" s="1"/>
  <c r="BY672" i="4" s="1"/>
  <c r="BQ624" i="4"/>
  <c r="BW624" i="4" s="1"/>
  <c r="BY624" i="4" s="1"/>
  <c r="BQ620" i="4"/>
  <c r="BW620" i="4" s="1"/>
  <c r="BY620" i="4" s="1"/>
  <c r="BQ651" i="4"/>
  <c r="BW651" i="4" s="1"/>
  <c r="BY651" i="4" s="1"/>
  <c r="BQ668" i="4"/>
  <c r="BW668" i="4" s="1"/>
  <c r="BY668" i="4" s="1"/>
  <c r="BQ683" i="4"/>
  <c r="BW683" i="4" s="1"/>
  <c r="BY683" i="4" s="1"/>
  <c r="BQ667" i="4"/>
  <c r="BW667" i="4" s="1"/>
  <c r="BY667" i="4" s="1"/>
  <c r="BQ619" i="4"/>
  <c r="BW619" i="4" s="1"/>
  <c r="BY619" i="4" s="1"/>
  <c r="BQ621" i="4"/>
  <c r="BW621" i="4" s="1"/>
  <c r="BY621" i="4" s="1"/>
  <c r="BQ635" i="4"/>
  <c r="BW635" i="4" s="1"/>
  <c r="BY635" i="4" s="1"/>
  <c r="BQ652" i="4"/>
  <c r="BW652" i="4" s="1"/>
  <c r="BY652" i="4" s="1"/>
  <c r="BQ669" i="4"/>
  <c r="BW669" i="4" s="1"/>
  <c r="BY669" i="4" s="1"/>
  <c r="BQ685" i="4"/>
  <c r="BW685" i="4" s="1"/>
  <c r="BY685" i="4" s="1"/>
  <c r="BV689" i="4"/>
  <c r="BV677" i="4"/>
  <c r="BV665" i="4"/>
  <c r="BV653" i="4"/>
  <c r="BV641" i="4"/>
  <c r="BV629" i="4"/>
  <c r="BV617" i="4"/>
  <c r="BV605" i="4"/>
  <c r="BV593" i="4"/>
  <c r="BV581" i="4"/>
  <c r="BV569" i="4"/>
  <c r="BV557" i="4"/>
  <c r="BV545" i="4"/>
  <c r="BV533" i="4"/>
  <c r="BV521" i="4"/>
  <c r="BV509" i="4"/>
  <c r="BV497" i="4"/>
  <c r="BV485" i="4"/>
  <c r="BV473" i="4"/>
  <c r="BV461" i="4"/>
  <c r="BV449" i="4"/>
  <c r="BV437" i="4"/>
  <c r="BV425" i="4"/>
  <c r="BV413" i="4"/>
  <c r="BV401" i="4"/>
  <c r="BV389" i="4"/>
  <c r="BV377" i="4"/>
  <c r="BV365" i="4"/>
  <c r="BV353" i="4"/>
  <c r="BQ670" i="4"/>
  <c r="BW670" i="4" s="1"/>
  <c r="BY670" i="4" s="1"/>
  <c r="BQ614" i="4"/>
  <c r="BW614" i="4" s="1"/>
  <c r="BY614" i="4" s="1"/>
  <c r="BQ656" i="4"/>
  <c r="BW656" i="4" s="1"/>
  <c r="BY656" i="4" s="1"/>
  <c r="BQ689" i="4"/>
  <c r="BW689" i="4" s="1"/>
  <c r="BY689" i="4" s="1"/>
  <c r="BV687" i="4"/>
  <c r="BV675" i="4"/>
  <c r="BV663" i="4"/>
  <c r="BV651" i="4"/>
  <c r="BV639" i="4"/>
  <c r="BV627" i="4"/>
  <c r="BV615" i="4"/>
  <c r="BV603" i="4"/>
  <c r="BV591" i="4"/>
  <c r="BV579" i="4"/>
  <c r="BV567" i="4"/>
  <c r="BV555" i="4"/>
  <c r="BV543" i="4"/>
  <c r="BV531" i="4"/>
  <c r="BV519" i="4"/>
  <c r="BV507" i="4"/>
  <c r="BV495" i="4"/>
  <c r="BV483" i="4"/>
  <c r="BV471" i="4"/>
  <c r="BV459" i="4"/>
  <c r="BV447" i="4"/>
  <c r="BV435" i="4"/>
  <c r="BV423" i="4"/>
  <c r="BV411" i="4"/>
  <c r="BV399" i="4"/>
  <c r="BV387" i="4"/>
  <c r="BV375" i="4"/>
  <c r="BV363" i="4"/>
  <c r="BV351" i="4"/>
  <c r="BV339" i="4"/>
  <c r="BV327" i="4"/>
  <c r="BV315" i="4"/>
  <c r="BV303" i="4"/>
  <c r="BV291" i="4"/>
  <c r="BV279" i="4"/>
  <c r="BV267" i="4"/>
  <c r="BV255" i="4"/>
  <c r="BV243" i="4"/>
  <c r="BV231" i="4"/>
  <c r="BV219" i="4"/>
  <c r="BV207" i="4"/>
  <c r="BV195" i="4"/>
  <c r="BV183" i="4"/>
  <c r="BV171" i="4"/>
  <c r="BV159" i="4"/>
  <c r="BV147" i="4"/>
  <c r="BV135" i="4"/>
  <c r="BV123" i="4"/>
  <c r="BV111" i="4"/>
  <c r="BV99" i="4"/>
  <c r="BV87" i="4"/>
  <c r="BV75" i="4"/>
  <c r="BV63" i="4"/>
  <c r="BV51" i="4"/>
  <c r="BV39" i="4"/>
  <c r="BV27" i="4"/>
  <c r="BV15" i="4"/>
  <c r="BV3" i="4"/>
  <c r="BQ636" i="4"/>
  <c r="BW636" i="4" s="1"/>
  <c r="BY636" i="4" s="1"/>
  <c r="BQ637" i="4"/>
  <c r="BW637" i="4" s="1"/>
  <c r="BY637" i="4" s="1"/>
  <c r="BQ654" i="4"/>
  <c r="BW654" i="4" s="1"/>
  <c r="BY654" i="4" s="1"/>
  <c r="BQ687" i="4"/>
  <c r="BW687" i="4" s="1"/>
  <c r="BY687" i="4" s="1"/>
  <c r="BQ623" i="4"/>
  <c r="BW623" i="4" s="1"/>
  <c r="BY623" i="4" s="1"/>
  <c r="BQ655" i="4"/>
  <c r="BW655" i="4" s="1"/>
  <c r="BY655" i="4" s="1"/>
  <c r="BQ641" i="4"/>
  <c r="BW641" i="4" s="1"/>
  <c r="BY641" i="4" s="1"/>
  <c r="BQ673" i="4"/>
  <c r="BW673" i="4" s="1"/>
  <c r="BY673" i="4" s="1"/>
  <c r="BV686" i="4"/>
  <c r="BV674" i="4"/>
  <c r="BV662" i="4"/>
  <c r="BV650" i="4"/>
  <c r="BV638" i="4"/>
  <c r="BV626" i="4"/>
  <c r="BV614" i="4"/>
  <c r="BV602" i="4"/>
  <c r="BV590" i="4"/>
  <c r="BV578" i="4"/>
  <c r="BV566" i="4"/>
  <c r="BV554" i="4"/>
  <c r="BV542" i="4"/>
  <c r="BV530" i="4"/>
  <c r="BV518" i="4"/>
  <c r="BV506" i="4"/>
  <c r="BV494" i="4"/>
  <c r="BV482" i="4"/>
  <c r="BV470" i="4"/>
  <c r="BV458" i="4"/>
  <c r="BV446" i="4"/>
  <c r="BV434" i="4"/>
  <c r="BV422" i="4"/>
  <c r="BV410" i="4"/>
  <c r="BV398" i="4"/>
  <c r="BV386" i="4"/>
  <c r="BV374" i="4"/>
  <c r="BV362" i="4"/>
  <c r="BV350" i="4"/>
  <c r="BV338" i="4"/>
  <c r="BV326" i="4"/>
  <c r="BV314" i="4"/>
  <c r="BV302" i="4"/>
  <c r="BV290" i="4"/>
  <c r="BV278" i="4"/>
  <c r="BV266" i="4"/>
  <c r="BV254" i="4"/>
  <c r="BV242" i="4"/>
  <c r="BV230" i="4"/>
  <c r="BV218" i="4"/>
  <c r="BV206" i="4"/>
  <c r="BV194" i="4"/>
  <c r="BV182" i="4"/>
  <c r="BV170" i="4"/>
  <c r="BV158" i="4"/>
  <c r="BV146" i="4"/>
  <c r="BV134" i="4"/>
  <c r="BV122" i="4"/>
  <c r="BV110" i="4"/>
  <c r="BV98" i="4"/>
  <c r="BV86" i="4"/>
  <c r="BV74" i="4"/>
  <c r="BV62" i="4"/>
  <c r="BV50" i="4"/>
  <c r="BV38" i="4"/>
  <c r="BV26" i="4"/>
  <c r="BV14" i="4"/>
  <c r="BQ675" i="4"/>
  <c r="BW675" i="4" s="1"/>
  <c r="BY675" i="4" s="1"/>
  <c r="BQ681" i="4"/>
  <c r="BW681" i="4" s="1"/>
  <c r="BY681" i="4" s="1"/>
  <c r="BQ616" i="4"/>
  <c r="BW616" i="4" s="1"/>
  <c r="BY616" i="4" s="1"/>
  <c r="BQ660" i="4"/>
  <c r="BW660" i="4" s="1"/>
  <c r="BY660" i="4" s="1"/>
  <c r="BQ640" i="4"/>
  <c r="BW640" i="4" s="1"/>
  <c r="BY640" i="4" s="1"/>
  <c r="BQ671" i="4"/>
  <c r="BW671" i="4" s="1"/>
  <c r="BY671" i="4" s="1"/>
  <c r="BQ612" i="4"/>
  <c r="BW612" i="4" s="1"/>
  <c r="BY612" i="4" s="1"/>
  <c r="BQ625" i="4"/>
  <c r="BW625" i="4" s="1"/>
  <c r="BY625" i="4" s="1"/>
  <c r="BQ657" i="4"/>
  <c r="BW657" i="4" s="1"/>
  <c r="BY657" i="4" s="1"/>
  <c r="BQ690" i="4"/>
  <c r="BW690" i="4" s="1"/>
  <c r="BY690" i="4" s="1"/>
  <c r="BQ696" i="4"/>
  <c r="BW696" i="4" s="1"/>
  <c r="BY696" i="4" s="1"/>
  <c r="BQ653" i="4"/>
  <c r="BW653" i="4" s="1"/>
  <c r="BY653" i="4" s="1"/>
  <c r="BQ609" i="4"/>
  <c r="BW609" i="4" s="1"/>
  <c r="BY609" i="4" s="1"/>
  <c r="BQ627" i="4"/>
  <c r="BW627" i="4" s="1"/>
  <c r="BY627" i="4" s="1"/>
  <c r="BQ642" i="4"/>
  <c r="BW642" i="4" s="1"/>
  <c r="BY642" i="4" s="1"/>
  <c r="BQ658" i="4"/>
  <c r="BW658" i="4" s="1"/>
  <c r="BY658" i="4" s="1"/>
  <c r="BQ676" i="4"/>
  <c r="BW676" i="4" s="1"/>
  <c r="BY676" i="4" s="1"/>
  <c r="BQ692" i="4"/>
  <c r="BW692" i="4" s="1"/>
  <c r="BY692" i="4" s="1"/>
  <c r="BQ691" i="4"/>
  <c r="BW691" i="4" s="1"/>
  <c r="BY691" i="4" s="1"/>
  <c r="BQ628" i="4"/>
  <c r="BW628" i="4" s="1"/>
  <c r="BY628" i="4" s="1"/>
  <c r="BQ659" i="4"/>
  <c r="BW659" i="4" s="1"/>
  <c r="BY659" i="4" s="1"/>
  <c r="BQ693" i="4"/>
  <c r="BW693" i="4" s="1"/>
  <c r="BY693" i="4" s="1"/>
  <c r="BQ647" i="4"/>
  <c r="BW647" i="4" s="1"/>
  <c r="BY647" i="4" s="1"/>
  <c r="BQ650" i="4"/>
  <c r="BW650" i="4" s="1"/>
  <c r="BY650" i="4" s="1"/>
  <c r="BQ610" i="4"/>
  <c r="BW610" i="4" s="1"/>
  <c r="BY610" i="4" s="1"/>
  <c r="BQ643" i="4"/>
  <c r="BW643" i="4" s="1"/>
  <c r="BY643" i="4" s="1"/>
  <c r="BQ677" i="4"/>
  <c r="BW677" i="4" s="1"/>
  <c r="BY677" i="4" s="1"/>
  <c r="BQ688" i="4"/>
  <c r="BW688" i="4" s="1"/>
  <c r="BY688" i="4" s="1"/>
  <c r="BQ648" i="4"/>
  <c r="BW648" i="4" s="1"/>
  <c r="BY648" i="4" s="1"/>
  <c r="BQ611" i="4"/>
  <c r="BW611" i="4" s="1"/>
  <c r="BY611" i="4" s="1"/>
  <c r="BQ629" i="4"/>
  <c r="BW629" i="4" s="1"/>
  <c r="BY629" i="4" s="1"/>
  <c r="BQ644" i="4"/>
  <c r="BW644" i="4" s="1"/>
  <c r="BY644" i="4" s="1"/>
  <c r="BQ661" i="4"/>
  <c r="BW661" i="4" s="1"/>
  <c r="BY661" i="4" s="1"/>
  <c r="BQ678" i="4"/>
  <c r="BW678" i="4" s="1"/>
  <c r="BY678" i="4" s="1"/>
  <c r="BQ694" i="4"/>
  <c r="BW694" i="4" s="1"/>
  <c r="BY694" i="4" s="1"/>
  <c r="BQ632" i="4"/>
  <c r="BW632" i="4" s="1"/>
  <c r="BY632" i="4" s="1"/>
  <c r="BQ662" i="4"/>
  <c r="BW662" i="4" s="1"/>
  <c r="BY662" i="4" s="1"/>
  <c r="BQ686" i="4"/>
  <c r="BW686" i="4" s="1"/>
  <c r="BY686" i="4" s="1"/>
  <c r="BQ613" i="4"/>
  <c r="BW613" i="4" s="1"/>
  <c r="BY613" i="4" s="1"/>
  <c r="BQ663" i="4"/>
  <c r="BW663" i="4" s="1"/>
  <c r="BY663" i="4" s="1"/>
  <c r="BQ617" i="4"/>
  <c r="BW617" i="4" s="1"/>
  <c r="BY617" i="4" s="1"/>
  <c r="BQ622" i="4"/>
  <c r="BW622" i="4" s="1"/>
  <c r="BY622" i="4" s="1"/>
  <c r="BQ639" i="4"/>
  <c r="BW639" i="4" s="1"/>
  <c r="BY639" i="4" s="1"/>
  <c r="BQ630" i="4"/>
  <c r="BW630" i="4" s="1"/>
  <c r="BY630" i="4" s="1"/>
  <c r="BQ645" i="4"/>
  <c r="BW645" i="4" s="1"/>
  <c r="BY645" i="4" s="1"/>
  <c r="BQ679" i="4"/>
  <c r="BW679" i="4" s="1"/>
  <c r="BY679" i="4" s="1"/>
  <c r="BQ695" i="4"/>
  <c r="BW695" i="4" s="1"/>
  <c r="BY695" i="4" s="1"/>
  <c r="BQ684" i="4"/>
  <c r="BW684" i="4" s="1"/>
  <c r="BY684" i="4" s="1"/>
  <c r="BQ638" i="4"/>
  <c r="BW638" i="4" s="1"/>
  <c r="BY638" i="4" s="1"/>
  <c r="BQ615" i="4"/>
  <c r="BW615" i="4" s="1"/>
  <c r="BY615" i="4" s="1"/>
  <c r="BQ631" i="4"/>
  <c r="BW631" i="4" s="1"/>
  <c r="BY631" i="4" s="1"/>
  <c r="BQ646" i="4"/>
  <c r="BW646" i="4" s="1"/>
  <c r="BY646" i="4" s="1"/>
  <c r="BQ664" i="4"/>
  <c r="BW664" i="4" s="1"/>
  <c r="BY664" i="4" s="1"/>
  <c r="BQ680" i="4"/>
  <c r="BW680" i="4" s="1"/>
  <c r="BY680" i="4" s="1"/>
  <c r="BV659" i="4"/>
  <c r="BV587" i="4"/>
  <c r="BV491" i="4"/>
  <c r="BV395" i="4"/>
  <c r="BV311" i="4"/>
  <c r="BV215" i="4"/>
  <c r="BV143" i="4"/>
  <c r="BV59" i="4"/>
  <c r="BV694" i="4"/>
  <c r="BV682" i="4"/>
  <c r="BV670" i="4"/>
  <c r="BV658" i="4"/>
  <c r="BV646" i="4"/>
  <c r="BV634" i="4"/>
  <c r="BV622" i="4"/>
  <c r="BV610" i="4"/>
  <c r="BV598" i="4"/>
  <c r="BV586" i="4"/>
  <c r="BV574" i="4"/>
  <c r="BV562" i="4"/>
  <c r="BV550" i="4"/>
  <c r="BV538" i="4"/>
  <c r="BV526" i="4"/>
  <c r="BV514" i="4"/>
  <c r="BV502" i="4"/>
  <c r="BV490" i="4"/>
  <c r="BV478" i="4"/>
  <c r="BV466" i="4"/>
  <c r="BV454" i="4"/>
  <c r="BV442" i="4"/>
  <c r="BV430" i="4"/>
  <c r="BV418" i="4"/>
  <c r="BV406" i="4"/>
  <c r="BV394" i="4"/>
  <c r="BV382" i="4"/>
  <c r="BV370" i="4"/>
  <c r="BV358" i="4"/>
  <c r="BV346" i="4"/>
  <c r="BV334" i="4"/>
  <c r="BV322" i="4"/>
  <c r="BV310" i="4"/>
  <c r="BV298" i="4"/>
  <c r="BV286" i="4"/>
  <c r="BV274" i="4"/>
  <c r="BV262" i="4"/>
  <c r="BV250" i="4"/>
  <c r="BV238" i="4"/>
  <c r="BV226" i="4"/>
  <c r="BV214" i="4"/>
  <c r="BV202" i="4"/>
  <c r="BV190" i="4"/>
  <c r="BV178" i="4"/>
  <c r="BV166" i="4"/>
  <c r="BV154" i="4"/>
  <c r="BV142" i="4"/>
  <c r="BV130" i="4"/>
  <c r="BV118" i="4"/>
  <c r="BV106" i="4"/>
  <c r="BV94" i="4"/>
  <c r="BV82" i="4"/>
  <c r="BV70" i="4"/>
  <c r="BV58" i="4"/>
  <c r="BV46" i="4"/>
  <c r="BV34" i="4"/>
  <c r="BV22" i="4"/>
  <c r="BV10" i="4"/>
  <c r="BV671" i="4"/>
  <c r="BV515" i="4"/>
  <c r="BV251" i="4"/>
  <c r="BV693" i="4"/>
  <c r="BV681" i="4"/>
  <c r="BV669" i="4"/>
  <c r="BV657" i="4"/>
  <c r="BV645" i="4"/>
  <c r="BV633" i="4"/>
  <c r="BV621" i="4"/>
  <c r="BV609" i="4"/>
  <c r="BV597" i="4"/>
  <c r="BV585" i="4"/>
  <c r="BV573" i="4"/>
  <c r="BV561" i="4"/>
  <c r="BV549" i="4"/>
  <c r="BV537" i="4"/>
  <c r="BV525" i="4"/>
  <c r="BV513" i="4"/>
  <c r="BV501" i="4"/>
  <c r="BV489" i="4"/>
  <c r="BV477" i="4"/>
  <c r="BV465" i="4"/>
  <c r="BV453" i="4"/>
  <c r="BV441" i="4"/>
  <c r="BV429" i="4"/>
  <c r="BV417" i="4"/>
  <c r="BV405" i="4"/>
  <c r="BV393" i="4"/>
  <c r="BV381" i="4"/>
  <c r="BV369" i="4"/>
  <c r="BV357" i="4"/>
  <c r="BV345" i="4"/>
  <c r="BV333" i="4"/>
  <c r="BV321" i="4"/>
  <c r="BV309" i="4"/>
  <c r="BV297" i="4"/>
  <c r="BV285" i="4"/>
  <c r="BV273" i="4"/>
  <c r="BV261" i="4"/>
  <c r="BV249" i="4"/>
  <c r="BV237" i="4"/>
  <c r="BV225" i="4"/>
  <c r="BV213" i="4"/>
  <c r="BV201" i="4"/>
  <c r="BV189" i="4"/>
  <c r="BV177" i="4"/>
  <c r="BV165" i="4"/>
  <c r="BV153" i="4"/>
  <c r="BV141" i="4"/>
  <c r="BV129" i="4"/>
  <c r="BV117" i="4"/>
  <c r="BV105" i="4"/>
  <c r="BV93" i="4"/>
  <c r="BV81" i="4"/>
  <c r="BV69" i="4"/>
  <c r="BV57" i="4"/>
  <c r="BV45" i="4"/>
  <c r="BV33" i="4"/>
  <c r="BV21" i="4"/>
  <c r="BV9" i="4"/>
  <c r="BV611" i="4"/>
  <c r="BV539" i="4"/>
  <c r="BV419" i="4"/>
  <c r="BV335" i="4"/>
  <c r="BV263" i="4"/>
  <c r="BV167" i="4"/>
  <c r="BV95" i="4"/>
  <c r="BV11" i="4"/>
  <c r="BV692" i="4"/>
  <c r="BV680" i="4"/>
  <c r="BV668" i="4"/>
  <c r="BV656" i="4"/>
  <c r="BV644" i="4"/>
  <c r="BV632" i="4"/>
  <c r="BV620" i="4"/>
  <c r="BV608" i="4"/>
  <c r="BV596" i="4"/>
  <c r="BV584" i="4"/>
  <c r="BV572" i="4"/>
  <c r="BV560" i="4"/>
  <c r="BV548" i="4"/>
  <c r="BV536" i="4"/>
  <c r="BV524" i="4"/>
  <c r="BV512" i="4"/>
  <c r="BV500" i="4"/>
  <c r="BV488" i="4"/>
  <c r="BV476" i="4"/>
  <c r="BV464" i="4"/>
  <c r="BV452" i="4"/>
  <c r="BV440" i="4"/>
  <c r="BV428" i="4"/>
  <c r="BV416" i="4"/>
  <c r="BV404" i="4"/>
  <c r="BV392" i="4"/>
  <c r="BV380" i="4"/>
  <c r="BV368" i="4"/>
  <c r="BV356" i="4"/>
  <c r="BV344" i="4"/>
  <c r="BV332" i="4"/>
  <c r="BV320" i="4"/>
  <c r="BV308" i="4"/>
  <c r="BV296" i="4"/>
  <c r="BV284" i="4"/>
  <c r="BV272" i="4"/>
  <c r="BV260" i="4"/>
  <c r="BV248" i="4"/>
  <c r="BV236" i="4"/>
  <c r="BV224" i="4"/>
  <c r="BV212" i="4"/>
  <c r="BV200" i="4"/>
  <c r="BV188" i="4"/>
  <c r="BV176" i="4"/>
  <c r="BV164" i="4"/>
  <c r="BV152" i="4"/>
  <c r="BV140" i="4"/>
  <c r="BV128" i="4"/>
  <c r="BV116" i="4"/>
  <c r="BV104" i="4"/>
  <c r="BV92" i="4"/>
  <c r="BV80" i="4"/>
  <c r="BV68" i="4"/>
  <c r="BV56" i="4"/>
  <c r="BV44" i="4"/>
  <c r="BV32" i="4"/>
  <c r="BV20" i="4"/>
  <c r="BV8" i="4"/>
  <c r="BV683" i="4"/>
  <c r="BV623" i="4"/>
  <c r="BV527" i="4"/>
  <c r="BV431" i="4"/>
  <c r="BV359" i="4"/>
  <c r="BV275" i="4"/>
  <c r="BV179" i="4"/>
  <c r="BV83" i="4"/>
  <c r="BV23" i="4"/>
  <c r="BV271" i="4"/>
  <c r="BV259" i="4"/>
  <c r="BV247" i="4"/>
  <c r="BV235" i="4"/>
  <c r="BV223" i="4"/>
  <c r="BV211" i="4"/>
  <c r="BV199" i="4"/>
  <c r="BV187" i="4"/>
  <c r="BV175" i="4"/>
  <c r="BV163" i="4"/>
  <c r="BV151" i="4"/>
  <c r="BV139" i="4"/>
  <c r="BV127" i="4"/>
  <c r="BV115" i="4"/>
  <c r="BV103" i="4"/>
  <c r="BV91" i="4"/>
  <c r="BV79" i="4"/>
  <c r="BV67" i="4"/>
  <c r="BV55" i="4"/>
  <c r="BV43" i="4"/>
  <c r="BV31" i="4"/>
  <c r="BV19" i="4"/>
  <c r="BV7" i="4"/>
  <c r="BV575" i="4"/>
  <c r="BV479" i="4"/>
  <c r="BV383" i="4"/>
  <c r="BV299" i="4"/>
  <c r="BV191" i="4"/>
  <c r="BV131" i="4"/>
  <c r="BV47" i="4"/>
  <c r="BV647" i="4"/>
  <c r="BV563" i="4"/>
  <c r="BV467" i="4"/>
  <c r="BV371" i="4"/>
  <c r="BV287" i="4"/>
  <c r="BV203" i="4"/>
  <c r="BV119" i="4"/>
  <c r="BV35" i="4"/>
  <c r="BV635" i="4"/>
  <c r="BV551" i="4"/>
  <c r="BV443" i="4"/>
  <c r="BV347" i="4"/>
  <c r="BV239" i="4"/>
  <c r="BV107" i="4"/>
  <c r="BV695" i="4"/>
  <c r="BV599" i="4"/>
  <c r="BV503" i="4"/>
  <c r="BV407" i="4"/>
  <c r="BV323" i="4"/>
  <c r="BV227" i="4"/>
  <c r="BV155" i="4"/>
  <c r="BV71" i="4"/>
  <c r="BV455" i="4"/>
  <c r="BP613" i="4"/>
  <c r="BP685" i="4"/>
  <c r="BP649" i="4"/>
  <c r="BP625" i="4"/>
  <c r="BP661" i="4"/>
  <c r="BP673" i="4"/>
  <c r="BP637" i="4"/>
  <c r="BP696" i="4"/>
  <c r="BP684" i="4"/>
  <c r="BP672" i="4"/>
  <c r="BP660" i="4"/>
  <c r="BP648" i="4"/>
  <c r="BP636" i="4"/>
  <c r="BP624" i="4"/>
  <c r="BP612" i="4"/>
  <c r="BP695" i="4"/>
  <c r="BP683" i="4"/>
  <c r="BP671" i="4"/>
  <c r="BP659" i="4"/>
  <c r="BP647" i="4"/>
  <c r="BP635" i="4"/>
  <c r="BP623" i="4"/>
  <c r="BP611" i="4"/>
  <c r="BP694" i="4"/>
  <c r="BP682" i="4"/>
  <c r="BP670" i="4"/>
  <c r="BP658" i="4"/>
  <c r="BP646" i="4"/>
  <c r="BP634" i="4"/>
  <c r="BP622" i="4"/>
  <c r="BP610" i="4"/>
  <c r="BP693" i="4"/>
  <c r="BP681" i="4"/>
  <c r="BP669" i="4"/>
  <c r="BP657" i="4"/>
  <c r="BP645" i="4"/>
  <c r="BP633" i="4"/>
  <c r="BP621" i="4"/>
  <c r="BP609" i="4"/>
  <c r="BP692" i="4"/>
  <c r="BP680" i="4"/>
  <c r="BP668" i="4"/>
  <c r="BP656" i="4"/>
  <c r="BP644" i="4"/>
  <c r="BP632" i="4"/>
  <c r="BP620" i="4"/>
  <c r="BP691" i="4"/>
  <c r="BP679" i="4"/>
  <c r="BP667" i="4"/>
  <c r="BP655" i="4"/>
  <c r="BX655" i="4" s="1"/>
  <c r="BP643" i="4"/>
  <c r="BX643" i="4" s="1"/>
  <c r="BP631" i="4"/>
  <c r="BP619" i="4"/>
  <c r="BP690" i="4"/>
  <c r="BP678" i="4"/>
  <c r="BP666" i="4"/>
  <c r="BX666" i="4" s="1"/>
  <c r="BP654" i="4"/>
  <c r="BP642" i="4"/>
  <c r="BP630" i="4"/>
  <c r="BP618" i="4"/>
  <c r="BP689" i="4"/>
  <c r="BP677" i="4"/>
  <c r="BP665" i="4"/>
  <c r="BP653" i="4"/>
  <c r="BX653" i="4" s="1"/>
  <c r="BP641" i="4"/>
  <c r="BP629" i="4"/>
  <c r="BX629" i="4" s="1"/>
  <c r="BP617" i="4"/>
  <c r="BP688" i="4"/>
  <c r="BP676" i="4"/>
  <c r="BP664" i="4"/>
  <c r="BP652" i="4"/>
  <c r="BP640" i="4"/>
  <c r="BP628" i="4"/>
  <c r="BP616" i="4"/>
  <c r="BP687" i="4"/>
  <c r="BP675" i="4"/>
  <c r="BP663" i="4"/>
  <c r="BP651" i="4"/>
  <c r="BP639" i="4"/>
  <c r="BP627" i="4"/>
  <c r="BP615" i="4"/>
  <c r="BP686" i="4"/>
  <c r="BP674" i="4"/>
  <c r="BP662" i="4"/>
  <c r="BP650" i="4"/>
  <c r="BP638" i="4"/>
  <c r="BP626" i="4"/>
  <c r="BP614" i="4"/>
  <c r="BH101" i="4"/>
  <c r="BH497" i="4"/>
  <c r="BH241" i="4"/>
  <c r="BH489" i="4"/>
  <c r="BH10" i="4"/>
  <c r="BH456" i="4"/>
  <c r="BH99" i="4"/>
  <c r="BH3" i="4"/>
  <c r="BH267" i="4"/>
  <c r="BH325" i="4"/>
  <c r="BH466" i="4"/>
  <c r="BH96" i="4"/>
  <c r="BH387" i="4"/>
  <c r="BH455" i="4"/>
  <c r="BH342" i="4"/>
  <c r="BH136" i="4"/>
  <c r="BH361" i="4"/>
  <c r="BH408" i="4"/>
  <c r="BH239" i="4"/>
  <c r="BH135" i="4"/>
  <c r="BH454" i="4"/>
  <c r="BH309" i="4"/>
  <c r="BH465" i="4"/>
  <c r="BH90" i="4"/>
  <c r="BH266" i="4"/>
  <c r="BH415" i="4"/>
  <c r="BH428" i="4"/>
  <c r="BH386" i="4"/>
  <c r="BH265" i="4"/>
  <c r="BH25" i="4"/>
  <c r="BH407" i="4"/>
  <c r="BH436" i="4"/>
  <c r="BH192" i="4"/>
  <c r="BH529" i="4"/>
  <c r="BH190" i="4"/>
  <c r="BH236" i="4"/>
  <c r="BH188" i="4"/>
  <c r="BH187" i="4"/>
  <c r="BH132" i="4"/>
  <c r="BH131" i="4"/>
  <c r="BH341" i="4"/>
  <c r="BH414" i="4"/>
  <c r="BH592" i="4"/>
  <c r="BH445" i="4"/>
  <c r="BH186" i="4"/>
  <c r="BH443" i="4"/>
  <c r="BH514" i="4"/>
  <c r="BH494" i="4"/>
  <c r="BH405" i="4"/>
  <c r="BH307" i="4"/>
  <c r="BH577" i="4"/>
  <c r="BH493" i="4"/>
  <c r="BH359" i="4"/>
  <c r="BH412" i="4"/>
  <c r="BH404" i="4"/>
  <c r="BH85" i="4"/>
  <c r="BH381" i="4"/>
  <c r="BH16" i="4"/>
  <c r="BH263" i="4"/>
  <c r="BH477" i="4"/>
  <c r="BH471" i="4"/>
  <c r="BH262" i="4"/>
  <c r="BH82" i="4"/>
  <c r="BH338" i="4"/>
  <c r="BH128" i="4"/>
  <c r="BH337" i="4"/>
  <c r="BH22" i="4"/>
  <c r="BH357" i="4"/>
  <c r="BH232" i="4"/>
  <c r="BH180" i="4"/>
  <c r="BH593" i="4"/>
  <c r="BH356" i="4"/>
  <c r="BH179" i="4"/>
  <c r="BH403" i="4"/>
  <c r="BH335" i="4"/>
  <c r="BH80" i="4"/>
  <c r="BH4" i="4"/>
  <c r="BH426" i="4"/>
  <c r="BH287" i="4"/>
  <c r="BH546" i="4"/>
  <c r="BH411" i="4"/>
  <c r="BH317" i="4"/>
  <c r="BH580" i="4"/>
  <c r="BH590" i="4"/>
  <c r="BH305" i="4"/>
  <c r="BH229" i="4"/>
  <c r="BH424" i="4"/>
  <c r="BH178" i="4"/>
  <c r="BH378" i="4"/>
  <c r="BH125" i="4"/>
  <c r="BH551" i="4"/>
  <c r="BH576" i="4"/>
  <c r="BH176" i="4"/>
  <c r="BH377" i="4"/>
  <c r="BH390" i="4"/>
  <c r="BH304" i="4"/>
  <c r="BH228" i="4"/>
  <c r="BH548" i="4"/>
  <c r="BH333" i="4"/>
  <c r="BH587" i="4"/>
  <c r="BH175" i="4"/>
  <c r="BH608" i="4"/>
  <c r="BH604" i="4"/>
  <c r="BH486" i="4"/>
  <c r="BH303" i="4"/>
  <c r="BH123" i="4"/>
  <c r="BH512" i="4"/>
  <c r="BH422" i="4"/>
  <c r="BH516" i="4"/>
  <c r="BH332" i="4"/>
  <c r="BH401" i="4"/>
  <c r="BH451" i="4"/>
  <c r="BH485" i="4"/>
  <c r="BH316" i="4"/>
  <c r="BH353" i="4"/>
  <c r="BH562" i="4"/>
  <c r="BH589" i="4"/>
  <c r="BH483" i="4"/>
  <c r="BH375" i="4"/>
  <c r="BH478" i="4"/>
  <c r="BH284" i="4"/>
  <c r="BH15" i="4"/>
  <c r="BH502" i="4"/>
  <c r="BH122" i="4"/>
  <c r="BH352" i="4"/>
  <c r="BH449" i="4"/>
  <c r="BH171" i="4"/>
  <c r="BH535" i="4"/>
  <c r="BH518" i="4"/>
  <c r="BH350" i="4"/>
  <c r="BH482" i="4"/>
  <c r="BH374" i="4"/>
  <c r="BH170" i="4"/>
  <c r="BH561" i="4"/>
  <c r="BH314" i="4"/>
  <c r="BH511" i="4"/>
  <c r="BH534" i="4"/>
  <c r="BH434" i="4"/>
  <c r="BH556" i="4"/>
  <c r="BH283" i="4"/>
  <c r="BH330" i="4"/>
  <c r="BH18" i="4"/>
  <c r="BH329" i="4"/>
  <c r="BH347" i="4"/>
  <c r="BH328" i="4"/>
  <c r="BH531" i="4"/>
  <c r="BH372" i="4"/>
  <c r="BH371" i="4"/>
  <c r="BH313" i="4"/>
  <c r="BH369" i="4"/>
  <c r="BH119" i="4"/>
  <c r="BH118" i="4"/>
  <c r="BH501" i="4"/>
  <c r="BH515" i="4"/>
  <c r="BH464" i="4"/>
  <c r="BH312" i="4"/>
  <c r="BH311" i="4"/>
  <c r="BH368" i="4"/>
  <c r="BH299" i="4"/>
  <c r="BH446" i="4"/>
  <c r="BH169" i="4"/>
  <c r="BH517" i="4"/>
  <c r="BH421" i="4"/>
  <c r="BH258" i="4"/>
  <c r="BH601" i="4"/>
  <c r="BH298" i="4"/>
  <c r="BH281" i="4"/>
  <c r="BH224" i="4"/>
  <c r="BH280" i="4"/>
  <c r="BH481" i="4"/>
  <c r="BH524" i="4"/>
  <c r="BH527" i="4"/>
  <c r="BH463" i="4"/>
  <c r="BH297" i="4"/>
  <c r="BH223" i="4"/>
  <c r="BH161" i="4"/>
  <c r="BH160" i="4"/>
  <c r="BH158" i="4"/>
  <c r="BH523" i="4"/>
  <c r="BH116" i="4"/>
  <c r="BH257" i="4"/>
  <c r="BH157" i="4"/>
  <c r="BH438" i="4"/>
  <c r="BH222" i="4"/>
  <c r="BH400" i="4"/>
  <c r="BH419" i="4"/>
  <c r="BH500" i="4"/>
  <c r="BH154" i="4"/>
  <c r="BH296" i="4"/>
  <c r="BH114" i="4"/>
  <c r="BH113" i="4"/>
  <c r="BH256" i="4"/>
  <c r="BH76" i="4"/>
  <c r="BH112" i="4"/>
  <c r="BH395" i="4"/>
  <c r="BH255" i="4"/>
  <c r="BH74" i="4"/>
  <c r="BH72" i="4"/>
  <c r="BH71" i="4"/>
  <c r="BH69" i="4"/>
  <c r="BH67" i="4"/>
  <c r="BH555" i="4"/>
  <c r="BH480" i="4"/>
  <c r="BH66" i="4"/>
  <c r="BH151" i="4"/>
  <c r="BH65" i="4"/>
  <c r="BH467" i="4"/>
  <c r="BH63" i="4"/>
  <c r="BH547" i="4"/>
  <c r="BH253" i="4"/>
  <c r="BH252" i="4"/>
  <c r="BH278" i="4"/>
  <c r="BH110" i="4"/>
  <c r="BH109" i="4"/>
  <c r="BH251" i="4"/>
  <c r="BH58" i="4"/>
  <c r="BH150" i="4"/>
  <c r="BH55" i="4"/>
  <c r="BH53" i="4"/>
  <c r="BH52" i="4"/>
  <c r="BH149" i="4"/>
  <c r="BH148" i="4"/>
  <c r="BH277" i="4"/>
  <c r="BH51" i="4"/>
  <c r="BH50" i="4"/>
  <c r="BH600" i="4"/>
  <c r="BH49" i="4"/>
  <c r="BH47" i="4"/>
  <c r="BH522" i="4"/>
  <c r="BH295" i="4"/>
  <c r="BH44" i="4"/>
  <c r="BH43" i="4"/>
  <c r="BH41" i="4"/>
  <c r="BH345" i="4"/>
  <c r="BH104" i="4"/>
  <c r="BH216" i="4"/>
  <c r="BH573" i="4"/>
  <c r="BH144" i="4"/>
  <c r="BH215" i="4"/>
  <c r="BH575" i="4"/>
  <c r="BH143" i="4"/>
  <c r="BH504" i="4"/>
  <c r="BH213" i="4"/>
  <c r="BH409" i="4"/>
  <c r="BH37" i="4"/>
  <c r="BH36" i="4"/>
  <c r="BH142" i="4"/>
  <c r="BH211" i="4"/>
  <c r="BH210" i="4"/>
  <c r="BH35" i="4"/>
  <c r="BH599" i="4"/>
  <c r="BH344" i="4"/>
  <c r="BH579" i="4"/>
  <c r="BH432" i="4"/>
  <c r="BH607" i="4"/>
  <c r="BH582" i="4"/>
  <c r="BH533" i="4"/>
  <c r="BH34" i="4"/>
  <c r="BH554" i="4"/>
  <c r="BH398" i="4"/>
  <c r="BH249" i="4"/>
  <c r="BH206" i="4"/>
  <c r="BH33" i="4"/>
  <c r="BH275" i="4"/>
  <c r="BH310" i="4"/>
  <c r="BH205" i="4"/>
  <c r="BH431" i="4"/>
  <c r="BH474" i="4"/>
  <c r="BH139" i="4"/>
  <c r="BH248" i="4"/>
  <c r="BH247" i="4"/>
  <c r="BH32" i="4"/>
  <c r="BH245" i="4"/>
  <c r="BH549" i="4"/>
  <c r="BH542" i="4"/>
  <c r="BH203" i="4"/>
  <c r="BH244" i="4"/>
  <c r="BH202" i="4"/>
  <c r="BH393" i="4"/>
  <c r="BH541" i="4"/>
  <c r="BH137" i="4"/>
  <c r="BH6" i="4"/>
  <c r="BH430" i="4"/>
  <c r="BH429" i="4"/>
  <c r="BH30" i="4"/>
  <c r="BH389" i="4"/>
  <c r="BH243" i="4"/>
  <c r="BH462" i="4"/>
  <c r="BH461" i="4"/>
  <c r="BH269" i="4"/>
  <c r="BH268" i="4"/>
  <c r="BH28" i="4"/>
  <c r="BH536" i="4"/>
  <c r="BH566" i="4"/>
  <c r="BH306" i="4"/>
  <c r="BH340" i="4"/>
  <c r="BH496" i="4"/>
  <c r="BH240" i="4"/>
  <c r="BH11" i="4"/>
  <c r="BH499" i="4"/>
  <c r="BH602" i="4"/>
  <c r="BH597" i="4"/>
  <c r="BH100" i="4"/>
  <c r="BH326" i="4"/>
  <c r="BH292" i="4"/>
  <c r="BH201" i="4"/>
  <c r="BH343" i="4"/>
  <c r="BH397" i="4"/>
  <c r="BH396" i="4"/>
  <c r="BH563" i="4"/>
  <c r="BH290" i="4"/>
  <c r="BH92" i="4"/>
  <c r="BH91" i="4"/>
  <c r="BH360" i="4"/>
  <c r="BH194" i="4"/>
  <c r="BH416" i="4"/>
  <c r="BH453" i="4"/>
  <c r="BH484" i="4"/>
  <c r="BH189" i="4"/>
  <c r="BH133" i="4"/>
  <c r="BH473" i="4"/>
  <c r="BH495" i="4"/>
  <c r="BH322" i="4"/>
  <c r="BH24" i="4"/>
  <c r="BH23" i="4"/>
  <c r="BH532" i="4"/>
  <c r="BH413" i="4"/>
  <c r="BH289" i="4"/>
  <c r="BH184" i="4"/>
  <c r="BH320" i="4"/>
  <c r="BH508" i="4"/>
  <c r="BH572" i="4"/>
  <c r="BH503" i="4"/>
  <c r="BH13" i="4"/>
  <c r="BH427" i="4"/>
  <c r="BH231" i="4"/>
  <c r="BH81" i="4"/>
  <c r="BH336" i="4"/>
  <c r="BH126" i="4"/>
  <c r="BH12" i="4"/>
  <c r="BH79" i="4"/>
  <c r="BH230" i="4"/>
  <c r="BH460" i="4"/>
  <c r="BH380" i="4"/>
  <c r="BH488" i="4"/>
  <c r="BH177" i="4"/>
  <c r="BH379" i="4"/>
  <c r="BH391" i="4"/>
  <c r="BH487" i="4"/>
  <c r="BH441" i="4"/>
  <c r="BH286" i="4"/>
  <c r="BH513" i="4"/>
  <c r="BH259" i="4"/>
  <c r="BH537" i="4"/>
  <c r="BH470" i="4"/>
  <c r="BH285" i="4"/>
  <c r="BH121" i="4"/>
  <c r="BH172" i="4"/>
  <c r="BH469" i="4"/>
  <c r="BH349" i="4"/>
  <c r="BH410" i="4"/>
  <c r="BH447" i="4"/>
  <c r="BH300" i="4"/>
  <c r="BH225" i="4"/>
  <c r="BH168" i="4"/>
  <c r="BH327" i="4"/>
  <c r="BH166" i="4"/>
  <c r="BH165" i="4"/>
  <c r="BH162" i="4"/>
  <c r="BH606" i="4"/>
  <c r="BH254" i="4"/>
  <c r="BH220" i="4"/>
  <c r="BH394" i="4"/>
  <c r="BH62" i="4"/>
  <c r="BH108" i="4"/>
  <c r="BH57" i="4"/>
  <c r="BH46" i="4"/>
  <c r="BH5" i="4"/>
  <c r="BH39" i="4"/>
  <c r="BH141" i="4"/>
  <c r="BH544" i="4"/>
  <c r="BH543" i="4"/>
  <c r="BH271" i="4"/>
  <c r="BH581" i="4"/>
  <c r="BH603" i="4"/>
  <c r="BH418" i="4"/>
  <c r="BH578" i="4"/>
  <c r="BH498" i="4"/>
  <c r="BH388" i="4"/>
  <c r="BL581" i="4"/>
  <c r="BL603" i="4"/>
  <c r="BL456" i="4"/>
  <c r="BL100" i="4"/>
  <c r="BL597" i="4"/>
  <c r="BL240" i="4"/>
  <c r="BL10" i="4"/>
  <c r="BL489" i="4"/>
  <c r="BL418" i="4"/>
  <c r="BL241" i="4"/>
  <c r="BL497" i="4"/>
  <c r="BL578" i="4"/>
  <c r="BL101" i="4"/>
  <c r="BL498" i="4"/>
  <c r="BL602" i="4"/>
  <c r="BL499" i="4"/>
  <c r="BL11" i="4"/>
  <c r="BL388" i="4"/>
  <c r="BM581" i="4"/>
  <c r="BM603" i="4"/>
  <c r="BM456" i="4"/>
  <c r="BM100" i="4"/>
  <c r="BM597" i="4"/>
  <c r="BM240" i="4"/>
  <c r="BM10" i="4"/>
  <c r="BM489" i="4"/>
  <c r="BM418" i="4"/>
  <c r="BM241" i="4"/>
  <c r="BM497" i="4"/>
  <c r="BM578" i="4"/>
  <c r="BM101" i="4"/>
  <c r="BM498" i="4"/>
  <c r="BM602" i="4"/>
  <c r="BM499" i="4"/>
  <c r="BM11" i="4"/>
  <c r="BM388" i="4"/>
  <c r="BO581" i="4"/>
  <c r="BO603" i="4"/>
  <c r="BO456" i="4"/>
  <c r="BO100" i="4"/>
  <c r="BO597" i="4"/>
  <c r="BO240" i="4"/>
  <c r="BO10" i="4"/>
  <c r="BO489" i="4"/>
  <c r="BO418" i="4"/>
  <c r="BO241" i="4"/>
  <c r="BO497" i="4"/>
  <c r="BO578" i="4"/>
  <c r="BO101" i="4"/>
  <c r="BO498" i="4"/>
  <c r="BO602" i="4"/>
  <c r="BO499" i="4"/>
  <c r="BO11" i="4"/>
  <c r="BO388" i="4"/>
  <c r="BH417" i="4"/>
  <c r="BH569" i="4"/>
  <c r="BH98" i="4"/>
  <c r="BH97" i="4"/>
  <c r="BH437" i="4"/>
  <c r="BH200" i="4"/>
  <c r="BH199" i="4"/>
  <c r="BH95" i="4"/>
  <c r="BH598" i="4"/>
  <c r="BH14" i="4"/>
  <c r="BH198" i="4"/>
  <c r="BH291" i="4"/>
  <c r="BH520" i="4"/>
  <c r="BH94" i="4"/>
  <c r="BH93" i="4"/>
  <c r="BH324" i="4"/>
  <c r="BH197" i="4"/>
  <c r="BH568" i="4"/>
  <c r="BH565" i="4"/>
  <c r="BH26" i="4"/>
  <c r="BH238" i="4"/>
  <c r="BH196" i="4"/>
  <c r="BH323" i="4"/>
  <c r="BH195" i="4"/>
  <c r="BH560" i="4"/>
  <c r="BH308" i="4"/>
  <c r="BH193" i="4"/>
  <c r="BH237" i="4"/>
  <c r="BH134" i="4"/>
  <c r="BH9" i="4"/>
  <c r="BH89" i="4"/>
  <c r="BH264" i="4"/>
  <c r="BH191" i="4"/>
  <c r="BH385" i="4"/>
  <c r="BH479" i="4"/>
  <c r="BH384" i="4"/>
  <c r="BH88" i="4"/>
  <c r="BH87" i="4"/>
  <c r="BH235" i="4"/>
  <c r="BH86" i="4"/>
  <c r="BH383" i="4"/>
  <c r="BH17" i="4"/>
  <c r="BH382" i="4"/>
  <c r="BH444" i="4"/>
  <c r="BH406" i="4"/>
  <c r="BH321" i="4"/>
  <c r="BH130" i="4"/>
  <c r="BH185" i="4"/>
  <c r="BH288" i="4"/>
  <c r="BH538" i="4"/>
  <c r="BH574" i="4"/>
  <c r="BH234" i="4"/>
  <c r="BH472" i="4"/>
  <c r="BH129" i="4"/>
  <c r="BH233" i="4"/>
  <c r="BH183" i="4"/>
  <c r="BH339" i="4"/>
  <c r="BH84" i="4"/>
  <c r="BH358" i="4"/>
  <c r="BH83" i="4"/>
  <c r="BH182" i="4"/>
  <c r="BH559" i="4"/>
  <c r="BH127" i="4"/>
  <c r="BH181" i="4"/>
  <c r="BH319" i="4"/>
  <c r="BH492" i="4"/>
  <c r="BH318" i="4"/>
  <c r="BH261" i="4"/>
  <c r="BH545" i="4"/>
  <c r="BH596" i="4"/>
  <c r="BH442" i="4"/>
  <c r="BH402" i="4"/>
  <c r="BH509" i="4"/>
  <c r="BH355" i="4"/>
  <c r="BH260" i="4"/>
  <c r="BH392" i="4"/>
  <c r="BH425" i="4"/>
  <c r="BH334" i="4"/>
  <c r="BH435" i="4"/>
  <c r="BH526" i="4"/>
  <c r="BH567" i="4"/>
  <c r="BH78" i="4"/>
  <c r="BH21" i="4"/>
  <c r="BH528" i="4"/>
  <c r="BH571" i="4"/>
  <c r="BH354" i="4"/>
  <c r="BH591" i="4"/>
  <c r="BH507" i="4"/>
  <c r="BH558" i="4"/>
  <c r="BH570" i="4"/>
  <c r="BH586" i="4"/>
  <c r="BH77" i="4"/>
  <c r="BH227" i="4"/>
  <c r="BH452" i="4"/>
  <c r="BH124" i="4"/>
  <c r="BH552" i="4"/>
  <c r="BH423" i="4"/>
  <c r="BH174" i="4"/>
  <c r="BH20" i="4"/>
  <c r="BH376" i="4"/>
  <c r="BH584" i="4"/>
  <c r="BH315" i="4"/>
  <c r="BH302" i="4"/>
  <c r="BH476" i="4"/>
  <c r="BH173" i="4"/>
  <c r="BH8" i="4"/>
  <c r="BH450" i="4"/>
  <c r="BH475" i="4"/>
  <c r="BH459" i="4"/>
  <c r="BH351" i="4"/>
  <c r="BH301" i="4"/>
  <c r="BH605" i="4"/>
  <c r="BH331" i="4"/>
  <c r="BH550" i="4"/>
  <c r="BH373" i="4"/>
  <c r="BH348" i="4"/>
  <c r="BH553" i="4"/>
  <c r="BH19" i="4"/>
  <c r="BH588" i="4"/>
  <c r="BH525" i="4"/>
  <c r="BH120" i="4"/>
  <c r="BH458" i="4"/>
  <c r="BH370" i="4"/>
  <c r="BH468" i="4"/>
  <c r="BH448" i="4"/>
  <c r="BH226" i="4"/>
  <c r="BH491" i="4"/>
  <c r="BH282" i="4"/>
  <c r="BH510" i="4"/>
  <c r="BH506" i="4"/>
  <c r="BH346" i="4"/>
  <c r="BH585" i="4"/>
  <c r="BH557" i="4"/>
  <c r="BH167" i="4"/>
  <c r="BH433" i="4"/>
  <c r="BH117" i="4"/>
  <c r="BH440" i="4"/>
  <c r="BH164" i="4"/>
  <c r="BH439" i="4"/>
  <c r="BH420" i="4"/>
  <c r="BH163" i="4"/>
  <c r="BH159" i="4"/>
  <c r="BH7" i="4"/>
  <c r="BH367" i="4"/>
  <c r="BH156" i="4"/>
  <c r="BH115" i="4"/>
  <c r="BH505" i="4"/>
  <c r="BH155" i="4"/>
  <c r="BH530" i="4"/>
  <c r="BH519" i="4"/>
  <c r="BH75" i="4"/>
  <c r="BH221" i="4"/>
  <c r="BH73" i="4"/>
  <c r="BH70" i="4"/>
  <c r="BH68" i="4"/>
  <c r="BH279" i="4"/>
  <c r="BH153" i="4"/>
  <c r="BH152" i="4"/>
  <c r="BH399" i="4"/>
  <c r="BH219" i="4"/>
  <c r="BH64" i="4"/>
  <c r="BH111" i="4"/>
  <c r="BH61" i="4"/>
  <c r="BH60" i="4"/>
  <c r="BH59" i="4"/>
  <c r="BH366" i="4"/>
  <c r="BH56" i="4"/>
  <c r="BH54" i="4"/>
  <c r="BH107" i="4"/>
  <c r="BH147" i="4"/>
  <c r="BH106" i="4"/>
  <c r="BH218" i="4"/>
  <c r="BH217" i="4"/>
  <c r="BH48" i="4"/>
  <c r="BH457" i="4"/>
  <c r="BH146" i="4"/>
  <c r="BH45" i="4"/>
  <c r="BH105" i="4"/>
  <c r="BH42" i="4"/>
  <c r="BH40" i="4"/>
  <c r="BH145" i="4"/>
  <c r="BH294" i="4"/>
  <c r="BH103" i="4"/>
  <c r="BH521" i="4"/>
  <c r="BH214" i="4"/>
  <c r="BH102" i="4"/>
  <c r="BH38" i="4"/>
  <c r="BH212" i="4"/>
  <c r="BH564" i="4"/>
  <c r="BH209" i="4"/>
  <c r="BH208" i="4"/>
  <c r="BH583" i="4"/>
  <c r="BH365" i="4"/>
  <c r="BH364" i="4"/>
  <c r="BH250" i="4"/>
  <c r="BH594" i="4"/>
  <c r="BH207" i="4"/>
  <c r="BH276" i="4"/>
  <c r="BH140" i="4"/>
  <c r="BH274" i="4"/>
  <c r="BH204" i="4"/>
  <c r="BH273" i="4"/>
  <c r="BH246" i="4"/>
  <c r="BH293" i="4"/>
  <c r="BH31" i="4"/>
  <c r="BH138" i="4"/>
  <c r="BH272" i="4"/>
  <c r="BH363" i="4"/>
  <c r="BH362" i="4"/>
  <c r="BH540" i="4"/>
  <c r="BH595" i="4"/>
  <c r="BH539" i="4"/>
  <c r="BH270" i="4"/>
  <c r="BH242" i="4"/>
  <c r="BH29" i="4"/>
  <c r="BH27" i="4"/>
  <c r="BH490" i="4"/>
  <c r="BC27" i="1"/>
  <c r="BL27" i="1" s="1"/>
  <c r="BC28" i="1"/>
  <c r="BL28" i="1" s="1"/>
  <c r="BC50" i="1"/>
  <c r="BL50" i="1" s="1"/>
  <c r="Q65" i="1"/>
  <c r="BC65" i="1" s="1"/>
  <c r="BL65" i="1" s="1"/>
  <c r="Q64" i="1"/>
  <c r="BC64" i="1" s="1"/>
  <c r="BL64" i="1" s="1"/>
  <c r="Q63" i="1"/>
  <c r="BC63" i="1" s="1"/>
  <c r="BL63" i="1" s="1"/>
  <c r="Q62" i="1"/>
  <c r="BC62" i="1" s="1"/>
  <c r="BL62" i="1" s="1"/>
  <c r="Q61" i="1"/>
  <c r="BC61" i="1" s="1"/>
  <c r="BL61" i="1" s="1"/>
  <c r="Q60" i="1"/>
  <c r="BC60" i="1" s="1"/>
  <c r="BL60" i="1" s="1"/>
  <c r="Q59" i="1"/>
  <c r="BC59" i="1" s="1"/>
  <c r="BL59" i="1" s="1"/>
  <c r="Q58" i="1"/>
  <c r="BC58" i="1" s="1"/>
  <c r="BL58" i="1" s="1"/>
  <c r="Q57" i="1"/>
  <c r="BC57" i="1" s="1"/>
  <c r="BL57" i="1" s="1"/>
  <c r="Q56" i="1"/>
  <c r="BC56" i="1" s="1"/>
  <c r="BL56" i="1" s="1"/>
  <c r="Q55" i="1"/>
  <c r="BC55" i="1" s="1"/>
  <c r="BL55" i="1" s="1"/>
  <c r="Q54" i="1"/>
  <c r="BC54" i="1" s="1"/>
  <c r="BL54" i="1" s="1"/>
  <c r="Q53" i="1"/>
  <c r="BC53" i="1" s="1"/>
  <c r="BL53" i="1" s="1"/>
  <c r="Q52" i="1"/>
  <c r="BC52" i="1" s="1"/>
  <c r="BL52" i="1" s="1"/>
  <c r="Q51" i="1"/>
  <c r="BC51" i="1" s="1"/>
  <c r="BL51" i="1" s="1"/>
  <c r="Q50" i="1"/>
  <c r="Q49" i="1"/>
  <c r="BC49" i="1" s="1"/>
  <c r="BL49" i="1" s="1"/>
  <c r="Q48" i="1"/>
  <c r="BC48" i="1" s="1"/>
  <c r="BL48" i="1" s="1"/>
  <c r="Q47" i="1"/>
  <c r="BC47" i="1" s="1"/>
  <c r="BL47" i="1" s="1"/>
  <c r="Q46" i="1"/>
  <c r="BC46" i="1" s="1"/>
  <c r="BL46" i="1" s="1"/>
  <c r="Q45" i="1"/>
  <c r="BC45" i="1" s="1"/>
  <c r="BL45" i="1" s="1"/>
  <c r="Q44" i="1"/>
  <c r="BC44" i="1" s="1"/>
  <c r="BL44" i="1" s="1"/>
  <c r="Q43" i="1"/>
  <c r="BC43" i="1" s="1"/>
  <c r="BL43" i="1" s="1"/>
  <c r="Q42" i="1"/>
  <c r="BC42" i="1" s="1"/>
  <c r="BL42" i="1" s="1"/>
  <c r="Q41" i="1"/>
  <c r="BC41" i="1" s="1"/>
  <c r="BL41" i="1" s="1"/>
  <c r="Q40" i="1"/>
  <c r="BC40" i="1" s="1"/>
  <c r="BL40" i="1" s="1"/>
  <c r="Q39" i="1"/>
  <c r="BC39" i="1" s="1"/>
  <c r="BL39" i="1" s="1"/>
  <c r="Q38" i="1"/>
  <c r="BC38" i="1" s="1"/>
  <c r="BL38" i="1" s="1"/>
  <c r="Q37" i="1"/>
  <c r="BC37" i="1" s="1"/>
  <c r="BL37" i="1" s="1"/>
  <c r="Q36" i="1"/>
  <c r="BC36" i="1" s="1"/>
  <c r="BL36" i="1" s="1"/>
  <c r="Q35" i="1"/>
  <c r="BC35" i="1" s="1"/>
  <c r="BL35" i="1" s="1"/>
  <c r="Q34" i="1"/>
  <c r="BC34" i="1" s="1"/>
  <c r="BL34" i="1" s="1"/>
  <c r="Q33" i="1"/>
  <c r="BC33" i="1" s="1"/>
  <c r="BL33" i="1" s="1"/>
  <c r="Q32" i="1"/>
  <c r="BC32" i="1" s="1"/>
  <c r="BL32" i="1" s="1"/>
  <c r="Q31" i="1"/>
  <c r="BC31" i="1" s="1"/>
  <c r="BL31" i="1" s="1"/>
  <c r="Q30" i="1"/>
  <c r="BC30" i="1" s="1"/>
  <c r="BL30" i="1" s="1"/>
  <c r="Q29" i="1"/>
  <c r="BC29" i="1" s="1"/>
  <c r="BL29" i="1" s="1"/>
  <c r="Q28" i="1"/>
  <c r="Q27" i="1"/>
  <c r="Q26" i="1"/>
  <c r="BC26" i="1" s="1"/>
  <c r="BL26" i="1" s="1"/>
  <c r="Q25" i="1"/>
  <c r="BC25" i="1" s="1"/>
  <c r="BL25" i="1" s="1"/>
  <c r="Q24" i="1"/>
  <c r="BC24" i="1" s="1"/>
  <c r="BL24" i="1" s="1"/>
  <c r="Q23" i="1"/>
  <c r="BC23" i="1" s="1"/>
  <c r="BL23" i="1" s="1"/>
  <c r="Q22" i="1"/>
  <c r="BC22" i="1" s="1"/>
  <c r="BL22" i="1" s="1"/>
  <c r="Q21" i="1"/>
  <c r="BC21" i="1" s="1"/>
  <c r="BL21" i="1" s="1"/>
  <c r="Q20" i="1"/>
  <c r="BC20" i="1" s="1"/>
  <c r="BL20" i="1" s="1"/>
  <c r="Q19" i="1"/>
  <c r="BC19" i="1" s="1"/>
  <c r="BL19" i="1" s="1"/>
  <c r="Q18" i="1"/>
  <c r="BC18" i="1" s="1"/>
  <c r="BL18" i="1" s="1"/>
  <c r="Q17" i="1"/>
  <c r="BC17" i="1" s="1"/>
  <c r="BL17" i="1" s="1"/>
  <c r="Q16" i="1"/>
  <c r="BC16" i="1" s="1"/>
  <c r="BL16" i="1" s="1"/>
  <c r="Q15" i="1"/>
  <c r="BC15" i="1" s="1"/>
  <c r="BL15" i="1" s="1"/>
  <c r="Q14" i="1"/>
  <c r="BC14" i="1" s="1"/>
  <c r="BL14" i="1" s="1"/>
  <c r="Q13" i="1"/>
  <c r="BC13" i="1" s="1"/>
  <c r="BL13" i="1" s="1"/>
  <c r="Q12" i="1"/>
  <c r="BC12" i="1" s="1"/>
  <c r="BL12" i="1" s="1"/>
  <c r="Q11" i="1"/>
  <c r="BC11" i="1" s="1"/>
  <c r="BL11" i="1" s="1"/>
  <c r="Q10" i="1"/>
  <c r="BC10" i="1" s="1"/>
  <c r="BL10" i="1" s="1"/>
  <c r="Q9" i="1"/>
  <c r="BC9" i="1" s="1"/>
  <c r="BL9" i="1" s="1"/>
  <c r="Q8" i="1"/>
  <c r="BC8" i="1" s="1"/>
  <c r="BL8" i="1" s="1"/>
  <c r="Q7" i="1"/>
  <c r="BC7" i="1" s="1"/>
  <c r="BL7" i="1" s="1"/>
  <c r="Q6" i="1"/>
  <c r="BC6" i="1" s="1"/>
  <c r="BL6" i="1" s="1"/>
  <c r="Q5" i="1"/>
  <c r="BC5" i="1" s="1"/>
  <c r="BL5" i="1" s="1"/>
  <c r="Q4" i="1"/>
  <c r="BC4" i="1" s="1"/>
  <c r="BL4" i="1" s="1"/>
  <c r="Q3" i="1"/>
  <c r="BC3" i="1" s="1"/>
  <c r="BL3" i="1" s="1"/>
  <c r="Q2" i="1"/>
  <c r="BC2" i="1" s="1"/>
  <c r="BL2" i="1" s="1"/>
  <c r="B57" i="2"/>
  <c r="B56" i="2"/>
  <c r="B55" i="2"/>
  <c r="B54" i="2"/>
  <c r="C54" i="2" s="1"/>
  <c r="C53" i="2"/>
  <c r="BO536" i="4"/>
  <c r="BO490" i="4"/>
  <c r="BO27" i="4"/>
  <c r="BO28" i="4"/>
  <c r="BO268" i="4"/>
  <c r="BO269" i="4"/>
  <c r="BO29" i="4"/>
  <c r="BO461" i="4"/>
  <c r="BO462" i="4"/>
  <c r="BO242" i="4"/>
  <c r="BO243" i="4"/>
  <c r="BO566" i="4"/>
  <c r="BO270" i="4"/>
  <c r="BO389" i="4"/>
  <c r="BO539" i="4"/>
  <c r="BO30" i="4"/>
  <c r="BO429" i="4"/>
  <c r="BO271" i="4"/>
  <c r="BO595" i="4"/>
  <c r="BO430" i="4"/>
  <c r="BO6" i="4"/>
  <c r="BO540" i="4"/>
  <c r="BO137" i="4"/>
  <c r="BO541" i="4"/>
  <c r="BO362" i="4"/>
  <c r="BO363" i="4"/>
  <c r="BO272" i="4"/>
  <c r="BO393" i="4"/>
  <c r="BO202" i="4"/>
  <c r="BO244" i="4"/>
  <c r="BO138" i="4"/>
  <c r="BO203" i="4"/>
  <c r="BO542" i="4"/>
  <c r="BO31" i="4"/>
  <c r="BO549" i="4"/>
  <c r="BO245" i="4"/>
  <c r="BO293" i="4"/>
  <c r="BO32" i="4"/>
  <c r="BO246" i="4"/>
  <c r="BO247" i="4"/>
  <c r="BO543" i="4"/>
  <c r="BO544" i="4"/>
  <c r="BO273" i="4"/>
  <c r="BO248" i="4"/>
  <c r="BO139" i="4"/>
  <c r="BO204" i="4"/>
  <c r="BO474" i="4"/>
  <c r="BO431" i="4"/>
  <c r="BO274" i="4"/>
  <c r="BO205" i="4"/>
  <c r="BO140" i="4"/>
  <c r="BO310" i="4"/>
  <c r="BO275" i="4"/>
  <c r="BO33" i="4"/>
  <c r="BO276" i="4"/>
  <c r="BO206" i="4"/>
  <c r="BO249" i="4"/>
  <c r="BO207" i="4"/>
  <c r="BO398" i="4"/>
  <c r="BO554" i="4"/>
  <c r="BO594" i="4"/>
  <c r="BO34" i="4"/>
  <c r="BO250" i="4"/>
  <c r="BO533" i="4"/>
  <c r="BO582" i="4"/>
  <c r="BO607" i="4"/>
  <c r="BO364" i="4"/>
  <c r="BO432" i="4"/>
  <c r="BO579" i="4"/>
  <c r="BO365" i="4"/>
  <c r="BO344" i="4"/>
  <c r="BO599" i="4"/>
  <c r="BO583" i="4"/>
  <c r="BO208" i="4"/>
  <c r="BO209" i="4"/>
  <c r="BO35" i="4"/>
  <c r="BO210" i="4"/>
  <c r="BO141" i="4"/>
  <c r="BO564" i="4"/>
  <c r="BO211" i="4"/>
  <c r="BO142" i="4"/>
  <c r="BO212" i="4"/>
  <c r="BO36" i="4"/>
  <c r="BO37" i="4"/>
  <c r="BO38" i="4"/>
  <c r="BO409" i="4"/>
  <c r="BO102" i="4"/>
  <c r="BO213" i="4"/>
  <c r="BO504" i="4"/>
  <c r="BO143" i="4"/>
  <c r="BO214" i="4"/>
  <c r="BO575" i="4"/>
  <c r="BO215" i="4"/>
  <c r="BO521" i="4"/>
  <c r="BO144" i="4"/>
  <c r="BO573" i="4"/>
  <c r="BO103" i="4"/>
  <c r="BO294" i="4"/>
  <c r="BO145" i="4"/>
  <c r="BO216" i="4"/>
  <c r="BO104" i="4"/>
  <c r="BO39" i="4"/>
  <c r="BO40" i="4"/>
  <c r="BO345" i="4"/>
  <c r="BO41" i="4"/>
  <c r="BO42" i="4"/>
  <c r="BO43" i="4"/>
  <c r="BO44" i="4"/>
  <c r="BO105" i="4"/>
  <c r="BO45" i="4"/>
  <c r="BO146" i="4"/>
  <c r="BO295" i="4"/>
  <c r="BO5" i="4"/>
  <c r="BO46" i="4"/>
  <c r="BO457" i="4"/>
  <c r="BO522" i="4"/>
  <c r="BO47" i="4"/>
  <c r="BO48" i="4"/>
  <c r="BO217" i="4"/>
  <c r="BO49" i="4"/>
  <c r="BO218" i="4"/>
  <c r="BO600" i="4"/>
  <c r="BO106" i="4"/>
  <c r="BO50" i="4"/>
  <c r="BO51" i="4"/>
  <c r="BO277" i="4"/>
  <c r="BO147" i="4"/>
  <c r="BO148" i="4"/>
  <c r="BO149" i="4"/>
  <c r="BO107" i="4"/>
  <c r="BO52" i="4"/>
  <c r="BO53" i="4"/>
  <c r="BO54" i="4"/>
  <c r="BO55" i="4"/>
  <c r="BO56" i="4"/>
  <c r="BO150" i="4"/>
  <c r="BO57" i="4"/>
  <c r="BO108" i="4"/>
  <c r="BO366" i="4"/>
  <c r="BO58" i="4"/>
  <c r="BO251" i="4"/>
  <c r="BO59" i="4"/>
  <c r="BO109" i="4"/>
  <c r="BO110" i="4"/>
  <c r="BO60" i="4"/>
  <c r="BO278" i="4"/>
  <c r="BO61" i="4"/>
  <c r="BO252" i="4"/>
  <c r="BO253" i="4"/>
  <c r="BO62" i="4"/>
  <c r="BO111" i="4"/>
  <c r="BO547" i="4"/>
  <c r="BO63" i="4"/>
  <c r="BO64" i="4"/>
  <c r="BO467" i="4"/>
  <c r="BO65" i="4"/>
  <c r="BO219" i="4"/>
  <c r="BO151" i="4"/>
  <c r="BO399" i="4"/>
  <c r="BO66" i="4"/>
  <c r="BO394" i="4"/>
  <c r="BO220" i="4"/>
  <c r="BO152" i="4"/>
  <c r="BO480" i="4"/>
  <c r="BO153" i="4"/>
  <c r="BO279" i="4"/>
  <c r="BO555" i="4"/>
  <c r="BO67" i="4"/>
  <c r="BO68" i="4"/>
  <c r="BO69" i="4"/>
  <c r="BO70" i="4"/>
  <c r="BO71" i="4"/>
  <c r="BO72" i="4"/>
  <c r="BO254" i="4"/>
  <c r="BO73" i="4"/>
  <c r="BO74" i="4"/>
  <c r="BO255" i="4"/>
  <c r="BO221" i="4"/>
  <c r="BO395" i="4"/>
  <c r="BO112" i="4"/>
  <c r="BO75" i="4"/>
  <c r="BO76" i="4"/>
  <c r="BO519" i="4"/>
  <c r="BO256" i="4"/>
  <c r="BO113" i="4"/>
  <c r="BO114" i="4"/>
  <c r="BO530" i="4"/>
  <c r="BO296" i="4"/>
  <c r="BO154" i="4"/>
  <c r="BO155" i="4"/>
  <c r="BO500" i="4"/>
  <c r="BO419" i="4"/>
  <c r="BO505" i="4"/>
  <c r="BO400" i="4"/>
  <c r="BO115" i="4"/>
  <c r="BO222" i="4"/>
  <c r="BO606" i="4"/>
  <c r="BO438" i="4"/>
  <c r="BO156" i="4"/>
  <c r="BO157" i="4"/>
  <c r="BO257" i="4"/>
  <c r="BO367" i="4"/>
  <c r="BO116" i="4"/>
  <c r="BO523" i="4"/>
  <c r="BO7" i="4"/>
  <c r="BO158" i="4"/>
  <c r="BO159" i="4"/>
  <c r="BO160" i="4"/>
  <c r="BO161" i="4"/>
  <c r="BO162" i="4"/>
  <c r="BO163" i="4"/>
  <c r="BO223" i="4"/>
  <c r="BO297" i="4"/>
  <c r="BO420" i="4"/>
  <c r="BO463" i="4"/>
  <c r="BO527" i="4"/>
  <c r="BO439" i="4"/>
  <c r="BO524" i="4"/>
  <c r="BO164" i="4"/>
  <c r="BO481" i="4"/>
  <c r="BO165" i="4"/>
  <c r="BO166" i="4"/>
  <c r="BO440" i="4"/>
  <c r="BO280" i="4"/>
  <c r="BO224" i="4"/>
  <c r="BO117" i="4"/>
  <c r="BO281" i="4"/>
  <c r="BO298" i="4"/>
  <c r="BO433" i="4"/>
  <c r="BO601" i="4"/>
  <c r="BO167" i="4"/>
  <c r="BO258" i="4"/>
  <c r="BO327" i="4"/>
  <c r="BO168" i="4"/>
  <c r="BO557" i="4"/>
  <c r="BO421" i="4"/>
  <c r="BO517" i="4"/>
  <c r="BO585" i="4"/>
  <c r="BO169" i="4"/>
  <c r="BO446" i="4"/>
  <c r="BO346" i="4"/>
  <c r="BO299" i="4"/>
  <c r="BO506" i="4"/>
  <c r="BO368" i="4"/>
  <c r="BO311" i="4"/>
  <c r="BO225" i="4"/>
  <c r="BO510" i="4"/>
  <c r="BO312" i="4"/>
  <c r="BO464" i="4"/>
  <c r="BO282" i="4"/>
  <c r="BO515" i="4"/>
  <c r="BO501" i="4"/>
  <c r="BO491" i="4"/>
  <c r="BO118" i="4"/>
  <c r="BO226" i="4"/>
  <c r="BO119" i="4"/>
  <c r="BO300" i="4"/>
  <c r="BO447" i="4"/>
  <c r="BO448" i="4"/>
  <c r="BO369" i="4"/>
  <c r="BO313" i="4"/>
  <c r="BO468" i="4"/>
  <c r="BO370" i="4"/>
  <c r="BO371" i="4"/>
  <c r="BO458" i="4"/>
  <c r="BO372" i="4"/>
  <c r="BO120" i="4"/>
  <c r="BO531" i="4"/>
  <c r="BO328" i="4"/>
  <c r="BO410" i="4"/>
  <c r="BO525" i="4"/>
  <c r="BO347" i="4"/>
  <c r="BO329" i="4"/>
  <c r="BO588" i="4"/>
  <c r="BO18" i="4"/>
  <c r="BO330" i="4"/>
  <c r="BO19" i="4"/>
  <c r="BO283" i="4"/>
  <c r="BO553" i="4"/>
  <c r="BO556" i="4"/>
  <c r="BO434" i="4"/>
  <c r="BO534" i="4"/>
  <c r="BO348" i="4"/>
  <c r="BO511" i="4"/>
  <c r="BO314" i="4"/>
  <c r="BO373" i="4"/>
  <c r="BO561" i="4"/>
  <c r="BO170" i="4"/>
  <c r="BO550" i="4"/>
  <c r="BO374" i="4"/>
  <c r="BO331" i="4"/>
  <c r="BO482" i="4"/>
  <c r="BO349" i="4"/>
  <c r="BO350" i="4"/>
  <c r="BO605" i="4"/>
  <c r="BO518" i="4"/>
  <c r="BO535" i="4"/>
  <c r="BO301" i="4"/>
  <c r="BO171" i="4"/>
  <c r="BO449" i="4"/>
  <c r="BO351" i="4"/>
  <c r="BO352" i="4"/>
  <c r="BO459" i="4"/>
  <c r="BO469" i="4"/>
  <c r="BO172" i="4"/>
  <c r="BO121" i="4"/>
  <c r="BO475" i="4"/>
  <c r="BO122" i="4"/>
  <c r="BO502" i="4"/>
  <c r="BO450" i="4"/>
  <c r="BO15" i="4"/>
  <c r="BO284" i="4"/>
  <c r="BO8" i="4"/>
  <c r="BO478" i="4"/>
  <c r="BO173" i="4"/>
  <c r="BO375" i="4"/>
  <c r="BO285" i="4"/>
  <c r="BO470" i="4"/>
  <c r="BO476" i="4"/>
  <c r="BO483" i="4"/>
  <c r="BO589" i="4"/>
  <c r="BO302" i="4"/>
  <c r="BO562" i="4"/>
  <c r="BO353" i="4"/>
  <c r="BO315" i="4"/>
  <c r="BO316" i="4"/>
  <c r="BO584" i="4"/>
  <c r="BO537" i="4"/>
  <c r="BO485" i="4"/>
  <c r="BO451" i="4"/>
  <c r="BO376" i="4"/>
  <c r="BO401" i="4"/>
  <c r="BO332" i="4"/>
  <c r="BO20" i="4"/>
  <c r="BO516" i="4"/>
  <c r="BO422" i="4"/>
  <c r="BO174" i="4"/>
  <c r="BO512" i="4"/>
  <c r="BO423" i="4"/>
  <c r="BO123" i="4"/>
  <c r="BO259" i="4"/>
  <c r="BO513" i="4"/>
  <c r="BO552" i="4"/>
  <c r="BO303" i="4"/>
  <c r="BO486" i="4"/>
  <c r="BO124" i="4"/>
  <c r="BO604" i="4"/>
  <c r="BO608" i="4"/>
  <c r="BO452" i="4"/>
  <c r="BO2" i="4"/>
  <c r="BO227" i="4"/>
  <c r="BO286" i="4"/>
  <c r="BO441" i="4"/>
  <c r="BO175" i="4"/>
  <c r="BO77" i="4"/>
  <c r="BO587" i="4"/>
  <c r="BO333" i="4"/>
  <c r="BO586" i="4"/>
  <c r="BO548" i="4"/>
  <c r="BO228" i="4"/>
  <c r="BO570" i="4"/>
  <c r="BO304" i="4"/>
  <c r="BO558" i="4"/>
  <c r="BO390" i="4"/>
  <c r="BO487" i="4"/>
  <c r="BO391" i="4"/>
  <c r="BO507" i="4"/>
  <c r="BO377" i="4"/>
  <c r="BO176" i="4"/>
  <c r="BO591" i="4"/>
  <c r="BO576" i="4"/>
  <c r="BO551" i="4"/>
  <c r="BO354" i="4"/>
  <c r="BO125" i="4"/>
  <c r="BO571" i="4"/>
  <c r="BO378" i="4"/>
  <c r="BO379" i="4"/>
  <c r="BO177" i="4"/>
  <c r="BO528" i="4"/>
  <c r="BO178" i="4"/>
  <c r="BO424" i="4"/>
  <c r="BO21" i="4"/>
  <c r="BO229" i="4"/>
  <c r="BO305" i="4"/>
  <c r="BO78" i="4"/>
  <c r="BO590" i="4"/>
  <c r="BO567" i="4"/>
  <c r="BO580" i="4"/>
  <c r="BO488" i="4"/>
  <c r="BO380" i="4"/>
  <c r="BO526" i="4"/>
  <c r="BO317" i="4"/>
  <c r="BO435" i="4"/>
  <c r="BO334" i="4"/>
  <c r="BO411" i="4"/>
  <c r="BO546" i="4"/>
  <c r="BO425" i="4"/>
  <c r="BO287" i="4"/>
  <c r="BO392" i="4"/>
  <c r="BO460" i="4"/>
  <c r="BO230" i="4"/>
  <c r="BO79" i="4"/>
  <c r="BO260" i="4"/>
  <c r="BO426" i="4"/>
  <c r="BO4" i="4"/>
  <c r="BO355" i="4"/>
  <c r="BO509" i="4"/>
  <c r="BO80" i="4"/>
  <c r="BO402" i="4"/>
  <c r="BO335" i="4"/>
  <c r="BO442" i="4"/>
  <c r="BO403" i="4"/>
  <c r="BO12" i="4"/>
  <c r="BO126" i="4"/>
  <c r="BO596" i="4"/>
  <c r="BO179" i="4"/>
  <c r="BO356" i="4"/>
  <c r="BO545" i="4"/>
  <c r="BO593" i="4"/>
  <c r="BO180" i="4"/>
  <c r="BO261" i="4"/>
  <c r="BO318" i="4"/>
  <c r="BO492" i="4"/>
  <c r="BO336" i="4"/>
  <c r="BO81" i="4"/>
  <c r="BO231" i="4"/>
  <c r="BO319" i="4"/>
  <c r="BO232" i="4"/>
  <c r="BO357" i="4"/>
  <c r="BO181" i="4"/>
  <c r="BO22" i="4"/>
  <c r="BO337" i="4"/>
  <c r="BO127" i="4"/>
  <c r="BO128" i="4"/>
  <c r="BO559" i="4"/>
  <c r="BO338" i="4"/>
  <c r="BO427" i="4"/>
  <c r="BO13" i="4"/>
  <c r="BO182" i="4"/>
  <c r="BO82" i="4"/>
  <c r="BO262" i="4"/>
  <c r="BO83" i="4"/>
  <c r="BO471" i="4"/>
  <c r="BO306" i="4"/>
  <c r="BO358" i="4"/>
  <c r="BO84" i="4"/>
  <c r="BO339" i="4"/>
  <c r="BO503" i="4"/>
  <c r="BO572" i="4"/>
  <c r="BO508" i="4"/>
  <c r="BO183" i="4"/>
  <c r="BO477" i="4"/>
  <c r="BO263" i="4"/>
  <c r="BO233" i="4"/>
  <c r="BO16" i="4"/>
  <c r="BO381" i="4"/>
  <c r="BO129" i="4"/>
  <c r="BO85" i="4"/>
  <c r="BO472" i="4"/>
  <c r="BO404" i="4"/>
  <c r="BO320" i="4"/>
  <c r="BO184" i="4"/>
  <c r="BO234" i="4"/>
  <c r="BO412" i="4"/>
  <c r="BO359" i="4"/>
  <c r="BO574" i="4"/>
  <c r="BO493" i="4"/>
  <c r="BO577" i="4"/>
  <c r="BO538" i="4"/>
  <c r="BO288" i="4"/>
  <c r="BO185" i="4"/>
  <c r="BO289" i="4"/>
  <c r="BO413" i="4"/>
  <c r="BO532" i="4"/>
  <c r="BO130" i="4"/>
  <c r="BO307" i="4"/>
  <c r="BO405" i="4"/>
  <c r="BO321" i="4"/>
  <c r="BO494" i="4"/>
  <c r="BO514" i="4"/>
  <c r="BO406" i="4"/>
  <c r="BO443" i="4"/>
  <c r="BO444" i="4"/>
  <c r="BO186" i="4"/>
  <c r="BO23" i="4"/>
  <c r="BO24" i="4"/>
  <c r="BO382" i="4"/>
  <c r="BO445" i="4"/>
  <c r="BO592" i="4"/>
  <c r="BO17" i="4"/>
  <c r="BO414" i="4"/>
  <c r="BO340" i="4"/>
  <c r="BO383" i="4"/>
  <c r="BO86" i="4"/>
  <c r="BO235" i="4"/>
  <c r="BO322" i="4"/>
  <c r="BO495" i="4"/>
  <c r="BO473" i="4"/>
  <c r="BO87" i="4"/>
  <c r="BO341" i="4"/>
  <c r="BO131" i="4"/>
  <c r="BO88" i="4"/>
  <c r="BO132" i="4"/>
  <c r="BO187" i="4"/>
  <c r="BO384" i="4"/>
  <c r="BO188" i="4"/>
  <c r="BO479" i="4"/>
  <c r="BO236" i="4"/>
  <c r="BO133" i="4"/>
  <c r="BO189" i="4"/>
  <c r="BO385" i="4"/>
  <c r="BO190" i="4"/>
  <c r="BO529" i="4"/>
  <c r="BO191" i="4"/>
  <c r="BO192" i="4"/>
  <c r="BO436" i="4"/>
  <c r="BO264" i="4"/>
  <c r="BO89" i="4"/>
  <c r="BO9" i="4"/>
  <c r="BO407" i="4"/>
  <c r="BO484" i="4"/>
  <c r="BO453" i="4"/>
  <c r="BO134" i="4"/>
  <c r="BO25" i="4"/>
  <c r="BO265" i="4"/>
  <c r="BO237" i="4"/>
  <c r="BO386" i="4"/>
  <c r="BO428" i="4"/>
  <c r="BO193" i="4"/>
  <c r="BO415" i="4"/>
  <c r="BO308" i="4"/>
  <c r="BO416" i="4"/>
  <c r="BO194" i="4"/>
  <c r="BO360" i="4"/>
  <c r="BO560" i="4"/>
  <c r="BO266" i="4"/>
  <c r="BO90" i="4"/>
  <c r="BO195" i="4"/>
  <c r="BO465" i="4"/>
  <c r="BO309" i="4"/>
  <c r="BO323" i="4"/>
  <c r="BO196" i="4"/>
  <c r="BO238" i="4"/>
  <c r="BO454" i="4"/>
  <c r="BO91" i="4"/>
  <c r="BO92" i="4"/>
  <c r="BO26" i="4"/>
  <c r="BO135" i="4"/>
  <c r="BO565" i="4"/>
  <c r="BO568" i="4"/>
  <c r="BO197" i="4"/>
  <c r="BO239" i="4"/>
  <c r="BO324" i="4"/>
  <c r="BO93" i="4"/>
  <c r="BO94" i="4"/>
  <c r="BO290" i="4"/>
  <c r="BO563" i="4"/>
  <c r="BO396" i="4"/>
  <c r="BO520" i="4"/>
  <c r="BO408" i="4"/>
  <c r="BO361" i="4"/>
  <c r="BO291" i="4"/>
  <c r="BO136" i="4"/>
  <c r="BO342" i="4"/>
  <c r="BO198" i="4"/>
  <c r="BO14" i="4"/>
  <c r="BO598" i="4"/>
  <c r="BO455" i="4"/>
  <c r="BO397" i="4"/>
  <c r="BO343" i="4"/>
  <c r="BO95" i="4"/>
  <c r="BO387" i="4"/>
  <c r="BO96" i="4"/>
  <c r="BO199" i="4"/>
  <c r="BO466" i="4"/>
  <c r="BO325" i="4"/>
  <c r="BO200" i="4"/>
  <c r="BO437" i="4"/>
  <c r="BO97" i="4"/>
  <c r="BO201" i="4"/>
  <c r="BO292" i="4"/>
  <c r="BO326" i="4"/>
  <c r="BO98" i="4"/>
  <c r="BO267" i="4"/>
  <c r="BO3" i="4"/>
  <c r="BO569" i="4"/>
  <c r="BO99" i="4"/>
  <c r="BO496" i="4"/>
  <c r="BO417" i="4"/>
  <c r="BM536" i="4"/>
  <c r="BM490" i="4"/>
  <c r="BM27" i="4"/>
  <c r="BM28" i="4"/>
  <c r="BM268" i="4"/>
  <c r="BM269" i="4"/>
  <c r="BM29" i="4"/>
  <c r="BM461" i="4"/>
  <c r="BM462" i="4"/>
  <c r="BM242" i="4"/>
  <c r="BM243" i="4"/>
  <c r="BM566" i="4"/>
  <c r="BM270" i="4"/>
  <c r="BM389" i="4"/>
  <c r="BM539" i="4"/>
  <c r="BM30" i="4"/>
  <c r="BM429" i="4"/>
  <c r="BM271" i="4"/>
  <c r="BM595" i="4"/>
  <c r="BM430" i="4"/>
  <c r="BM6" i="4"/>
  <c r="BM540" i="4"/>
  <c r="BM137" i="4"/>
  <c r="BM541" i="4"/>
  <c r="BM362" i="4"/>
  <c r="BM363" i="4"/>
  <c r="BM272" i="4"/>
  <c r="BM393" i="4"/>
  <c r="BM202" i="4"/>
  <c r="BM244" i="4"/>
  <c r="BM138" i="4"/>
  <c r="BM203" i="4"/>
  <c r="BM542" i="4"/>
  <c r="BM31" i="4"/>
  <c r="BM549" i="4"/>
  <c r="BM245" i="4"/>
  <c r="BM293" i="4"/>
  <c r="BM32" i="4"/>
  <c r="BM246" i="4"/>
  <c r="BM247" i="4"/>
  <c r="BM543" i="4"/>
  <c r="BM544" i="4"/>
  <c r="BM273" i="4"/>
  <c r="BM248" i="4"/>
  <c r="BM139" i="4"/>
  <c r="BM204" i="4"/>
  <c r="BM474" i="4"/>
  <c r="BM431" i="4"/>
  <c r="BM274" i="4"/>
  <c r="BM205" i="4"/>
  <c r="BM140" i="4"/>
  <c r="BM310" i="4"/>
  <c r="BM275" i="4"/>
  <c r="BM33" i="4"/>
  <c r="BM276" i="4"/>
  <c r="BM206" i="4"/>
  <c r="BM249" i="4"/>
  <c r="BM207" i="4"/>
  <c r="BM398" i="4"/>
  <c r="BM554" i="4"/>
  <c r="BM594" i="4"/>
  <c r="BM34" i="4"/>
  <c r="BM250" i="4"/>
  <c r="BM533" i="4"/>
  <c r="BM582" i="4"/>
  <c r="BM607" i="4"/>
  <c r="BM364" i="4"/>
  <c r="BM432" i="4"/>
  <c r="BM579" i="4"/>
  <c r="BM365" i="4"/>
  <c r="BM344" i="4"/>
  <c r="BM599" i="4"/>
  <c r="BM583" i="4"/>
  <c r="BM208" i="4"/>
  <c r="BM209" i="4"/>
  <c r="BM35" i="4"/>
  <c r="BM210" i="4"/>
  <c r="BM141" i="4"/>
  <c r="BM564" i="4"/>
  <c r="BM211" i="4"/>
  <c r="BM142" i="4"/>
  <c r="BM212" i="4"/>
  <c r="BM36" i="4"/>
  <c r="BM37" i="4"/>
  <c r="BM38" i="4"/>
  <c r="BM409" i="4"/>
  <c r="BM102" i="4"/>
  <c r="BM213" i="4"/>
  <c r="BM504" i="4"/>
  <c r="BM143" i="4"/>
  <c r="BM214" i="4"/>
  <c r="BM575" i="4"/>
  <c r="BM215" i="4"/>
  <c r="BM521" i="4"/>
  <c r="BM144" i="4"/>
  <c r="BM573" i="4"/>
  <c r="BM103" i="4"/>
  <c r="BM294" i="4"/>
  <c r="BM145" i="4"/>
  <c r="BM216" i="4"/>
  <c r="BM104" i="4"/>
  <c r="BM39" i="4"/>
  <c r="BM40" i="4"/>
  <c r="BM345" i="4"/>
  <c r="BM41" i="4"/>
  <c r="BM42" i="4"/>
  <c r="BM43" i="4"/>
  <c r="BM44" i="4"/>
  <c r="BM105" i="4"/>
  <c r="BM45" i="4"/>
  <c r="BM146" i="4"/>
  <c r="BM295" i="4"/>
  <c r="BM5" i="4"/>
  <c r="BM46" i="4"/>
  <c r="BM457" i="4"/>
  <c r="BM522" i="4"/>
  <c r="BM47" i="4"/>
  <c r="BM48" i="4"/>
  <c r="BM217" i="4"/>
  <c r="BM49" i="4"/>
  <c r="BM218" i="4"/>
  <c r="BM600" i="4"/>
  <c r="BM106" i="4"/>
  <c r="BM50" i="4"/>
  <c r="BM51" i="4"/>
  <c r="BM277" i="4"/>
  <c r="BM147" i="4"/>
  <c r="BM148" i="4"/>
  <c r="BM149" i="4"/>
  <c r="BM107" i="4"/>
  <c r="BM52" i="4"/>
  <c r="BM53" i="4"/>
  <c r="BM54" i="4"/>
  <c r="BM55" i="4"/>
  <c r="BM56" i="4"/>
  <c r="BM150" i="4"/>
  <c r="BM57" i="4"/>
  <c r="BM108" i="4"/>
  <c r="BM366" i="4"/>
  <c r="BM58" i="4"/>
  <c r="BM251" i="4"/>
  <c r="BM59" i="4"/>
  <c r="BM109" i="4"/>
  <c r="BM110" i="4"/>
  <c r="BM60" i="4"/>
  <c r="BM278" i="4"/>
  <c r="BM61" i="4"/>
  <c r="BM252" i="4"/>
  <c r="BM253" i="4"/>
  <c r="BM62" i="4"/>
  <c r="BM111" i="4"/>
  <c r="BM547" i="4"/>
  <c r="BM63" i="4"/>
  <c r="BM64" i="4"/>
  <c r="BM467" i="4"/>
  <c r="BM65" i="4"/>
  <c r="BM219" i="4"/>
  <c r="BM151" i="4"/>
  <c r="BM399" i="4"/>
  <c r="BM66" i="4"/>
  <c r="BM394" i="4"/>
  <c r="BM220" i="4"/>
  <c r="BM152" i="4"/>
  <c r="BM480" i="4"/>
  <c r="BM153" i="4"/>
  <c r="BM279" i="4"/>
  <c r="BM555" i="4"/>
  <c r="BM67" i="4"/>
  <c r="BM68" i="4"/>
  <c r="BM69" i="4"/>
  <c r="BM70" i="4"/>
  <c r="BM71" i="4"/>
  <c r="BM72" i="4"/>
  <c r="BM254" i="4"/>
  <c r="BM73" i="4"/>
  <c r="BM74" i="4"/>
  <c r="BM255" i="4"/>
  <c r="BM221" i="4"/>
  <c r="BM395" i="4"/>
  <c r="BM112" i="4"/>
  <c r="BM75" i="4"/>
  <c r="BM76" i="4"/>
  <c r="BM519" i="4"/>
  <c r="BM256" i="4"/>
  <c r="BM113" i="4"/>
  <c r="BM114" i="4"/>
  <c r="BM530" i="4"/>
  <c r="BM296" i="4"/>
  <c r="BM154" i="4"/>
  <c r="BM155" i="4"/>
  <c r="BM500" i="4"/>
  <c r="BM419" i="4"/>
  <c r="BM505" i="4"/>
  <c r="BM400" i="4"/>
  <c r="BM115" i="4"/>
  <c r="BM222" i="4"/>
  <c r="BM606" i="4"/>
  <c r="BM438" i="4"/>
  <c r="BM156" i="4"/>
  <c r="BM157" i="4"/>
  <c r="BM257" i="4"/>
  <c r="BM367" i="4"/>
  <c r="BM116" i="4"/>
  <c r="BM523" i="4"/>
  <c r="BM7" i="4"/>
  <c r="BM158" i="4"/>
  <c r="BM159" i="4"/>
  <c r="BM160" i="4"/>
  <c r="BM161" i="4"/>
  <c r="BM162" i="4"/>
  <c r="BM163" i="4"/>
  <c r="BM223" i="4"/>
  <c r="BM297" i="4"/>
  <c r="BM420" i="4"/>
  <c r="BM463" i="4"/>
  <c r="BM527" i="4"/>
  <c r="BM439" i="4"/>
  <c r="BM524" i="4"/>
  <c r="BM164" i="4"/>
  <c r="BM481" i="4"/>
  <c r="BM165" i="4"/>
  <c r="BM166" i="4"/>
  <c r="BM440" i="4"/>
  <c r="BM280" i="4"/>
  <c r="BM224" i="4"/>
  <c r="BM117" i="4"/>
  <c r="BM281" i="4"/>
  <c r="BM298" i="4"/>
  <c r="BM433" i="4"/>
  <c r="BM601" i="4"/>
  <c r="BM167" i="4"/>
  <c r="BM258" i="4"/>
  <c r="BM327" i="4"/>
  <c r="BM168" i="4"/>
  <c r="BM557" i="4"/>
  <c r="BM421" i="4"/>
  <c r="BM517" i="4"/>
  <c r="BM585" i="4"/>
  <c r="BM169" i="4"/>
  <c r="BM446" i="4"/>
  <c r="BM346" i="4"/>
  <c r="BM299" i="4"/>
  <c r="BM506" i="4"/>
  <c r="BM368" i="4"/>
  <c r="BM311" i="4"/>
  <c r="BM225" i="4"/>
  <c r="BM510" i="4"/>
  <c r="BM312" i="4"/>
  <c r="BM464" i="4"/>
  <c r="BM282" i="4"/>
  <c r="BM515" i="4"/>
  <c r="BM501" i="4"/>
  <c r="BM491" i="4"/>
  <c r="BM118" i="4"/>
  <c r="BM226" i="4"/>
  <c r="BM119" i="4"/>
  <c r="BM300" i="4"/>
  <c r="BM447" i="4"/>
  <c r="BM448" i="4"/>
  <c r="BM369" i="4"/>
  <c r="BM313" i="4"/>
  <c r="BM468" i="4"/>
  <c r="BM370" i="4"/>
  <c r="BM371" i="4"/>
  <c r="BM458" i="4"/>
  <c r="BM372" i="4"/>
  <c r="BM120" i="4"/>
  <c r="BM531" i="4"/>
  <c r="BM328" i="4"/>
  <c r="BM410" i="4"/>
  <c r="BM525" i="4"/>
  <c r="BM347" i="4"/>
  <c r="BM329" i="4"/>
  <c r="BM588" i="4"/>
  <c r="BM18" i="4"/>
  <c r="BM330" i="4"/>
  <c r="BM19" i="4"/>
  <c r="BM283" i="4"/>
  <c r="BM553" i="4"/>
  <c r="BM556" i="4"/>
  <c r="BM434" i="4"/>
  <c r="BM534" i="4"/>
  <c r="BM348" i="4"/>
  <c r="BM511" i="4"/>
  <c r="BM314" i="4"/>
  <c r="BM373" i="4"/>
  <c r="BM561" i="4"/>
  <c r="BM170" i="4"/>
  <c r="BM550" i="4"/>
  <c r="BM374" i="4"/>
  <c r="BM331" i="4"/>
  <c r="BM482" i="4"/>
  <c r="BM349" i="4"/>
  <c r="BM350" i="4"/>
  <c r="BM605" i="4"/>
  <c r="BM518" i="4"/>
  <c r="BM535" i="4"/>
  <c r="BM301" i="4"/>
  <c r="BM171" i="4"/>
  <c r="BM449" i="4"/>
  <c r="BM351" i="4"/>
  <c r="BM352" i="4"/>
  <c r="BM459" i="4"/>
  <c r="BM469" i="4"/>
  <c r="BM172" i="4"/>
  <c r="BM121" i="4"/>
  <c r="BM475" i="4"/>
  <c r="BM122" i="4"/>
  <c r="BM502" i="4"/>
  <c r="BM450" i="4"/>
  <c r="BM15" i="4"/>
  <c r="BM284" i="4"/>
  <c r="BM8" i="4"/>
  <c r="BM478" i="4"/>
  <c r="BM173" i="4"/>
  <c r="BM375" i="4"/>
  <c r="BM285" i="4"/>
  <c r="BM470" i="4"/>
  <c r="BM476" i="4"/>
  <c r="BM483" i="4"/>
  <c r="BM589" i="4"/>
  <c r="BM302" i="4"/>
  <c r="BM562" i="4"/>
  <c r="BM353" i="4"/>
  <c r="BM315" i="4"/>
  <c r="BM316" i="4"/>
  <c r="BM584" i="4"/>
  <c r="BM537" i="4"/>
  <c r="BM485" i="4"/>
  <c r="BM451" i="4"/>
  <c r="BM376" i="4"/>
  <c r="BM401" i="4"/>
  <c r="BM332" i="4"/>
  <c r="BM20" i="4"/>
  <c r="BM516" i="4"/>
  <c r="BM422" i="4"/>
  <c r="BM174" i="4"/>
  <c r="BM512" i="4"/>
  <c r="BM423" i="4"/>
  <c r="BM123" i="4"/>
  <c r="BM259" i="4"/>
  <c r="BM513" i="4"/>
  <c r="BM552" i="4"/>
  <c r="BM303" i="4"/>
  <c r="BM486" i="4"/>
  <c r="BM124" i="4"/>
  <c r="BM604" i="4"/>
  <c r="BM608" i="4"/>
  <c r="BM452" i="4"/>
  <c r="BM2" i="4"/>
  <c r="BM227" i="4"/>
  <c r="BM286" i="4"/>
  <c r="BM441" i="4"/>
  <c r="BM175" i="4"/>
  <c r="BM77" i="4"/>
  <c r="BM587" i="4"/>
  <c r="BM333" i="4"/>
  <c r="BM586" i="4"/>
  <c r="BM548" i="4"/>
  <c r="BM228" i="4"/>
  <c r="BM570" i="4"/>
  <c r="BM304" i="4"/>
  <c r="BM558" i="4"/>
  <c r="BM390" i="4"/>
  <c r="BM487" i="4"/>
  <c r="BM391" i="4"/>
  <c r="BM507" i="4"/>
  <c r="BM377" i="4"/>
  <c r="BM176" i="4"/>
  <c r="BM591" i="4"/>
  <c r="BM576" i="4"/>
  <c r="BM551" i="4"/>
  <c r="BM354" i="4"/>
  <c r="BM125" i="4"/>
  <c r="BM571" i="4"/>
  <c r="BM378" i="4"/>
  <c r="BM379" i="4"/>
  <c r="BM177" i="4"/>
  <c r="BM528" i="4"/>
  <c r="BM178" i="4"/>
  <c r="BM424" i="4"/>
  <c r="BM21" i="4"/>
  <c r="BM229" i="4"/>
  <c r="BM305" i="4"/>
  <c r="BM78" i="4"/>
  <c r="BM590" i="4"/>
  <c r="BM567" i="4"/>
  <c r="BM580" i="4"/>
  <c r="BM488" i="4"/>
  <c r="BM380" i="4"/>
  <c r="BM526" i="4"/>
  <c r="BM317" i="4"/>
  <c r="BM435" i="4"/>
  <c r="BM334" i="4"/>
  <c r="BM411" i="4"/>
  <c r="BM546" i="4"/>
  <c r="BM425" i="4"/>
  <c r="BM287" i="4"/>
  <c r="BM392" i="4"/>
  <c r="BM460" i="4"/>
  <c r="BM230" i="4"/>
  <c r="BM79" i="4"/>
  <c r="BM260" i="4"/>
  <c r="BM426" i="4"/>
  <c r="BM4" i="4"/>
  <c r="BM355" i="4"/>
  <c r="BM509" i="4"/>
  <c r="BM80" i="4"/>
  <c r="BM402" i="4"/>
  <c r="BM335" i="4"/>
  <c r="BM442" i="4"/>
  <c r="BM403" i="4"/>
  <c r="BM12" i="4"/>
  <c r="BM126" i="4"/>
  <c r="BM596" i="4"/>
  <c r="BM179" i="4"/>
  <c r="BM356" i="4"/>
  <c r="BM545" i="4"/>
  <c r="BM593" i="4"/>
  <c r="BM180" i="4"/>
  <c r="BM261" i="4"/>
  <c r="BM318" i="4"/>
  <c r="BM492" i="4"/>
  <c r="BM336" i="4"/>
  <c r="BM81" i="4"/>
  <c r="BM231" i="4"/>
  <c r="BM319" i="4"/>
  <c r="BM232" i="4"/>
  <c r="BM357" i="4"/>
  <c r="BM181" i="4"/>
  <c r="BM22" i="4"/>
  <c r="BM337" i="4"/>
  <c r="BM127" i="4"/>
  <c r="BM128" i="4"/>
  <c r="BM559" i="4"/>
  <c r="BM338" i="4"/>
  <c r="BM427" i="4"/>
  <c r="BM13" i="4"/>
  <c r="BM182" i="4"/>
  <c r="BM82" i="4"/>
  <c r="BM262" i="4"/>
  <c r="BM83" i="4"/>
  <c r="BM471" i="4"/>
  <c r="BM306" i="4"/>
  <c r="BM358" i="4"/>
  <c r="BM84" i="4"/>
  <c r="BM339" i="4"/>
  <c r="BM503" i="4"/>
  <c r="BM572" i="4"/>
  <c r="BM508" i="4"/>
  <c r="BM183" i="4"/>
  <c r="BM477" i="4"/>
  <c r="BM263" i="4"/>
  <c r="BM233" i="4"/>
  <c r="BM16" i="4"/>
  <c r="BM381" i="4"/>
  <c r="BM129" i="4"/>
  <c r="BM85" i="4"/>
  <c r="BM472" i="4"/>
  <c r="BM404" i="4"/>
  <c r="BM320" i="4"/>
  <c r="BM184" i="4"/>
  <c r="BM234" i="4"/>
  <c r="BM412" i="4"/>
  <c r="BM359" i="4"/>
  <c r="BM574" i="4"/>
  <c r="BM493" i="4"/>
  <c r="BM577" i="4"/>
  <c r="BM538" i="4"/>
  <c r="BM288" i="4"/>
  <c r="BM185" i="4"/>
  <c r="BM289" i="4"/>
  <c r="BM413" i="4"/>
  <c r="BM532" i="4"/>
  <c r="BM130" i="4"/>
  <c r="BM307" i="4"/>
  <c r="BM405" i="4"/>
  <c r="BM321" i="4"/>
  <c r="BM494" i="4"/>
  <c r="BM514" i="4"/>
  <c r="BM406" i="4"/>
  <c r="BM443" i="4"/>
  <c r="BM444" i="4"/>
  <c r="BM186" i="4"/>
  <c r="BM23" i="4"/>
  <c r="BM24" i="4"/>
  <c r="BM382" i="4"/>
  <c r="BM445" i="4"/>
  <c r="BM592" i="4"/>
  <c r="BM17" i="4"/>
  <c r="BM414" i="4"/>
  <c r="BM340" i="4"/>
  <c r="BM383" i="4"/>
  <c r="BM86" i="4"/>
  <c r="BM235" i="4"/>
  <c r="BM322" i="4"/>
  <c r="BM495" i="4"/>
  <c r="BM473" i="4"/>
  <c r="BM87" i="4"/>
  <c r="BM341" i="4"/>
  <c r="BM131" i="4"/>
  <c r="BM88" i="4"/>
  <c r="BM132" i="4"/>
  <c r="BM187" i="4"/>
  <c r="BM384" i="4"/>
  <c r="BM188" i="4"/>
  <c r="BM479" i="4"/>
  <c r="BM236" i="4"/>
  <c r="BM133" i="4"/>
  <c r="BM189" i="4"/>
  <c r="BM385" i="4"/>
  <c r="BM190" i="4"/>
  <c r="BM529" i="4"/>
  <c r="BM191" i="4"/>
  <c r="BM192" i="4"/>
  <c r="BM436" i="4"/>
  <c r="BM264" i="4"/>
  <c r="BM89" i="4"/>
  <c r="BM9" i="4"/>
  <c r="BM407" i="4"/>
  <c r="BM484" i="4"/>
  <c r="BM453" i="4"/>
  <c r="BM134" i="4"/>
  <c r="BM25" i="4"/>
  <c r="BM265" i="4"/>
  <c r="BM237" i="4"/>
  <c r="BM386" i="4"/>
  <c r="BM428" i="4"/>
  <c r="BM193" i="4"/>
  <c r="BM415" i="4"/>
  <c r="BM308" i="4"/>
  <c r="BM416" i="4"/>
  <c r="BM194" i="4"/>
  <c r="BM360" i="4"/>
  <c r="BM560" i="4"/>
  <c r="BM266" i="4"/>
  <c r="BM90" i="4"/>
  <c r="BM195" i="4"/>
  <c r="BM465" i="4"/>
  <c r="BM309" i="4"/>
  <c r="BM323" i="4"/>
  <c r="BM196" i="4"/>
  <c r="BM238" i="4"/>
  <c r="BM454" i="4"/>
  <c r="BM91" i="4"/>
  <c r="BM92" i="4"/>
  <c r="BM26" i="4"/>
  <c r="BM135" i="4"/>
  <c r="BM565" i="4"/>
  <c r="BM568" i="4"/>
  <c r="BM197" i="4"/>
  <c r="BM239" i="4"/>
  <c r="BM324" i="4"/>
  <c r="BM93" i="4"/>
  <c r="BM94" i="4"/>
  <c r="BM290" i="4"/>
  <c r="BM563" i="4"/>
  <c r="BM396" i="4"/>
  <c r="BM520" i="4"/>
  <c r="BM408" i="4"/>
  <c r="BM361" i="4"/>
  <c r="BM291" i="4"/>
  <c r="BM136" i="4"/>
  <c r="BM342" i="4"/>
  <c r="BM198" i="4"/>
  <c r="BM14" i="4"/>
  <c r="BM598" i="4"/>
  <c r="BM455" i="4"/>
  <c r="BM397" i="4"/>
  <c r="BM343" i="4"/>
  <c r="BM95" i="4"/>
  <c r="BM387" i="4"/>
  <c r="BM96" i="4"/>
  <c r="BM199" i="4"/>
  <c r="BM466" i="4"/>
  <c r="BM325" i="4"/>
  <c r="BM200" i="4"/>
  <c r="BM437" i="4"/>
  <c r="BM97" i="4"/>
  <c r="BM201" i="4"/>
  <c r="BM292" i="4"/>
  <c r="BM326" i="4"/>
  <c r="BM98" i="4"/>
  <c r="BM267" i="4"/>
  <c r="BM3" i="4"/>
  <c r="BM569" i="4"/>
  <c r="BM99" i="4"/>
  <c r="BM496" i="4"/>
  <c r="BM417" i="4"/>
  <c r="BL536" i="4"/>
  <c r="BL490" i="4"/>
  <c r="BL27" i="4"/>
  <c r="BL28" i="4"/>
  <c r="BL268" i="4"/>
  <c r="BL269" i="4"/>
  <c r="BL29" i="4"/>
  <c r="BL461" i="4"/>
  <c r="BL462" i="4"/>
  <c r="BL242" i="4"/>
  <c r="BL243" i="4"/>
  <c r="BL566" i="4"/>
  <c r="BL270" i="4"/>
  <c r="BL389" i="4"/>
  <c r="BL539" i="4"/>
  <c r="BL30" i="4"/>
  <c r="BL429" i="4"/>
  <c r="BL271" i="4"/>
  <c r="BL595" i="4"/>
  <c r="BL430" i="4"/>
  <c r="BL6" i="4"/>
  <c r="BL540" i="4"/>
  <c r="BL137" i="4"/>
  <c r="BL541" i="4"/>
  <c r="BL362" i="4"/>
  <c r="BL363" i="4"/>
  <c r="BL272" i="4"/>
  <c r="BL393" i="4"/>
  <c r="BL202" i="4"/>
  <c r="BL244" i="4"/>
  <c r="BL138" i="4"/>
  <c r="BL203" i="4"/>
  <c r="BL542" i="4"/>
  <c r="BL31" i="4"/>
  <c r="BL549" i="4"/>
  <c r="BL245" i="4"/>
  <c r="BL293" i="4"/>
  <c r="BL32" i="4"/>
  <c r="BL246" i="4"/>
  <c r="BL247" i="4"/>
  <c r="BL543" i="4"/>
  <c r="BL544" i="4"/>
  <c r="BL273" i="4"/>
  <c r="BL248" i="4"/>
  <c r="BL139" i="4"/>
  <c r="BL204" i="4"/>
  <c r="BL474" i="4"/>
  <c r="BL431" i="4"/>
  <c r="BL274" i="4"/>
  <c r="BL205" i="4"/>
  <c r="BL140" i="4"/>
  <c r="BL310" i="4"/>
  <c r="BL275" i="4"/>
  <c r="BL33" i="4"/>
  <c r="BL276" i="4"/>
  <c r="BL206" i="4"/>
  <c r="BL249" i="4"/>
  <c r="BL207" i="4"/>
  <c r="BL398" i="4"/>
  <c r="BL554" i="4"/>
  <c r="BL594" i="4"/>
  <c r="BL34" i="4"/>
  <c r="BL250" i="4"/>
  <c r="BL533" i="4"/>
  <c r="BL582" i="4"/>
  <c r="BL607" i="4"/>
  <c r="BL364" i="4"/>
  <c r="BL432" i="4"/>
  <c r="BL579" i="4"/>
  <c r="BL365" i="4"/>
  <c r="BL344" i="4"/>
  <c r="BL599" i="4"/>
  <c r="BL583" i="4"/>
  <c r="BL208" i="4"/>
  <c r="BL209" i="4"/>
  <c r="BL35" i="4"/>
  <c r="BL210" i="4"/>
  <c r="BL141" i="4"/>
  <c r="BL564" i="4"/>
  <c r="BL211" i="4"/>
  <c r="BL142" i="4"/>
  <c r="BL212" i="4"/>
  <c r="BL36" i="4"/>
  <c r="BL37" i="4"/>
  <c r="BL38" i="4"/>
  <c r="BL409" i="4"/>
  <c r="BL102" i="4"/>
  <c r="BL213" i="4"/>
  <c r="BL504" i="4"/>
  <c r="BL143" i="4"/>
  <c r="BL214" i="4"/>
  <c r="BL575" i="4"/>
  <c r="BL215" i="4"/>
  <c r="BL521" i="4"/>
  <c r="BL144" i="4"/>
  <c r="BL573" i="4"/>
  <c r="BL103" i="4"/>
  <c r="BL294" i="4"/>
  <c r="BL145" i="4"/>
  <c r="BL216" i="4"/>
  <c r="BL104" i="4"/>
  <c r="BL39" i="4"/>
  <c r="BL40" i="4"/>
  <c r="BL345" i="4"/>
  <c r="BL41" i="4"/>
  <c r="BL42" i="4"/>
  <c r="BL43" i="4"/>
  <c r="BL44" i="4"/>
  <c r="BL105" i="4"/>
  <c r="BL45" i="4"/>
  <c r="BL146" i="4"/>
  <c r="BL295" i="4"/>
  <c r="BL5" i="4"/>
  <c r="BL46" i="4"/>
  <c r="BL457" i="4"/>
  <c r="BL522" i="4"/>
  <c r="BL47" i="4"/>
  <c r="BL48" i="4"/>
  <c r="BL217" i="4"/>
  <c r="BL49" i="4"/>
  <c r="BL218" i="4"/>
  <c r="BL600" i="4"/>
  <c r="BL106" i="4"/>
  <c r="BL50" i="4"/>
  <c r="BL51" i="4"/>
  <c r="BL277" i="4"/>
  <c r="BL147" i="4"/>
  <c r="BL148" i="4"/>
  <c r="BL149" i="4"/>
  <c r="BL107" i="4"/>
  <c r="BL52" i="4"/>
  <c r="BL53" i="4"/>
  <c r="BL54" i="4"/>
  <c r="BL55" i="4"/>
  <c r="BL56" i="4"/>
  <c r="BL150" i="4"/>
  <c r="BL57" i="4"/>
  <c r="BL108" i="4"/>
  <c r="BL366" i="4"/>
  <c r="BL58" i="4"/>
  <c r="BL251" i="4"/>
  <c r="BL59" i="4"/>
  <c r="BL109" i="4"/>
  <c r="BL110" i="4"/>
  <c r="BL60" i="4"/>
  <c r="BL278" i="4"/>
  <c r="BL61" i="4"/>
  <c r="BL252" i="4"/>
  <c r="BL253" i="4"/>
  <c r="BL62" i="4"/>
  <c r="BL111" i="4"/>
  <c r="BL547" i="4"/>
  <c r="BL63" i="4"/>
  <c r="BL64" i="4"/>
  <c r="BL467" i="4"/>
  <c r="BL65" i="4"/>
  <c r="BL219" i="4"/>
  <c r="BL151" i="4"/>
  <c r="BL399" i="4"/>
  <c r="BL66" i="4"/>
  <c r="BL394" i="4"/>
  <c r="BL220" i="4"/>
  <c r="BL152" i="4"/>
  <c r="BL480" i="4"/>
  <c r="BL153" i="4"/>
  <c r="BL279" i="4"/>
  <c r="BL555" i="4"/>
  <c r="BL67" i="4"/>
  <c r="BL68" i="4"/>
  <c r="BL69" i="4"/>
  <c r="BL70" i="4"/>
  <c r="BL71" i="4"/>
  <c r="BL72" i="4"/>
  <c r="BL254" i="4"/>
  <c r="BL73" i="4"/>
  <c r="BL74" i="4"/>
  <c r="BL255" i="4"/>
  <c r="BL221" i="4"/>
  <c r="BL395" i="4"/>
  <c r="BL112" i="4"/>
  <c r="BL75" i="4"/>
  <c r="BL76" i="4"/>
  <c r="BL519" i="4"/>
  <c r="BL256" i="4"/>
  <c r="BL113" i="4"/>
  <c r="BL114" i="4"/>
  <c r="BL530" i="4"/>
  <c r="BL296" i="4"/>
  <c r="BL154" i="4"/>
  <c r="BL155" i="4"/>
  <c r="BL500" i="4"/>
  <c r="BL419" i="4"/>
  <c r="BL505" i="4"/>
  <c r="BL400" i="4"/>
  <c r="BL115" i="4"/>
  <c r="BL222" i="4"/>
  <c r="BL606" i="4"/>
  <c r="BL438" i="4"/>
  <c r="BL156" i="4"/>
  <c r="BL157" i="4"/>
  <c r="BL257" i="4"/>
  <c r="BL367" i="4"/>
  <c r="BL116" i="4"/>
  <c r="BL523" i="4"/>
  <c r="BL7" i="4"/>
  <c r="BL158" i="4"/>
  <c r="BL159" i="4"/>
  <c r="BL160" i="4"/>
  <c r="BL161" i="4"/>
  <c r="BL162" i="4"/>
  <c r="BL163" i="4"/>
  <c r="BL223" i="4"/>
  <c r="BL297" i="4"/>
  <c r="BL420" i="4"/>
  <c r="BL463" i="4"/>
  <c r="BL527" i="4"/>
  <c r="BL439" i="4"/>
  <c r="BL524" i="4"/>
  <c r="BL164" i="4"/>
  <c r="BL481" i="4"/>
  <c r="BL165" i="4"/>
  <c r="BL166" i="4"/>
  <c r="BL440" i="4"/>
  <c r="BL280" i="4"/>
  <c r="BL224" i="4"/>
  <c r="BL117" i="4"/>
  <c r="BL281" i="4"/>
  <c r="BL298" i="4"/>
  <c r="BL433" i="4"/>
  <c r="BL601" i="4"/>
  <c r="BL167" i="4"/>
  <c r="BL258" i="4"/>
  <c r="BL327" i="4"/>
  <c r="BL168" i="4"/>
  <c r="BL557" i="4"/>
  <c r="BL421" i="4"/>
  <c r="BL517" i="4"/>
  <c r="BL585" i="4"/>
  <c r="BL169" i="4"/>
  <c r="BL446" i="4"/>
  <c r="BL346" i="4"/>
  <c r="BL299" i="4"/>
  <c r="BL506" i="4"/>
  <c r="BL368" i="4"/>
  <c r="BL311" i="4"/>
  <c r="BL225" i="4"/>
  <c r="BL510" i="4"/>
  <c r="BL312" i="4"/>
  <c r="BL464" i="4"/>
  <c r="BL282" i="4"/>
  <c r="BL515" i="4"/>
  <c r="BL501" i="4"/>
  <c r="BL491" i="4"/>
  <c r="BL118" i="4"/>
  <c r="BL226" i="4"/>
  <c r="BL119" i="4"/>
  <c r="BL300" i="4"/>
  <c r="BL447" i="4"/>
  <c r="BL448" i="4"/>
  <c r="BL369" i="4"/>
  <c r="BL313" i="4"/>
  <c r="BL468" i="4"/>
  <c r="BL370" i="4"/>
  <c r="BL371" i="4"/>
  <c r="BL458" i="4"/>
  <c r="BL372" i="4"/>
  <c r="BL120" i="4"/>
  <c r="BL531" i="4"/>
  <c r="BL328" i="4"/>
  <c r="BL410" i="4"/>
  <c r="BL525" i="4"/>
  <c r="BL347" i="4"/>
  <c r="BL329" i="4"/>
  <c r="BL588" i="4"/>
  <c r="BL18" i="4"/>
  <c r="BL330" i="4"/>
  <c r="BL19" i="4"/>
  <c r="BL283" i="4"/>
  <c r="BL553" i="4"/>
  <c r="BL556" i="4"/>
  <c r="BL434" i="4"/>
  <c r="BL534" i="4"/>
  <c r="BL348" i="4"/>
  <c r="BL511" i="4"/>
  <c r="BL314" i="4"/>
  <c r="BL373" i="4"/>
  <c r="BL561" i="4"/>
  <c r="BL170" i="4"/>
  <c r="BL550" i="4"/>
  <c r="BL374" i="4"/>
  <c r="BL331" i="4"/>
  <c r="BL482" i="4"/>
  <c r="BL349" i="4"/>
  <c r="BL350" i="4"/>
  <c r="BL605" i="4"/>
  <c r="BL518" i="4"/>
  <c r="BL535" i="4"/>
  <c r="BL301" i="4"/>
  <c r="BL171" i="4"/>
  <c r="BL449" i="4"/>
  <c r="BL351" i="4"/>
  <c r="BL352" i="4"/>
  <c r="BL459" i="4"/>
  <c r="BL469" i="4"/>
  <c r="BL172" i="4"/>
  <c r="BL121" i="4"/>
  <c r="BL475" i="4"/>
  <c r="BL122" i="4"/>
  <c r="BL502" i="4"/>
  <c r="BL450" i="4"/>
  <c r="BL15" i="4"/>
  <c r="BL284" i="4"/>
  <c r="BL8" i="4"/>
  <c r="BL478" i="4"/>
  <c r="BL173" i="4"/>
  <c r="BL375" i="4"/>
  <c r="BL285" i="4"/>
  <c r="BL470" i="4"/>
  <c r="BL476" i="4"/>
  <c r="BL483" i="4"/>
  <c r="BL589" i="4"/>
  <c r="BL302" i="4"/>
  <c r="BL562" i="4"/>
  <c r="BL353" i="4"/>
  <c r="BL315" i="4"/>
  <c r="BL316" i="4"/>
  <c r="BL584" i="4"/>
  <c r="BL537" i="4"/>
  <c r="BL485" i="4"/>
  <c r="BL451" i="4"/>
  <c r="BL376" i="4"/>
  <c r="BL401" i="4"/>
  <c r="BL332" i="4"/>
  <c r="BL20" i="4"/>
  <c r="BL516" i="4"/>
  <c r="BL422" i="4"/>
  <c r="BL174" i="4"/>
  <c r="BL512" i="4"/>
  <c r="BL423" i="4"/>
  <c r="BL123" i="4"/>
  <c r="BL259" i="4"/>
  <c r="BL513" i="4"/>
  <c r="BL552" i="4"/>
  <c r="BL303" i="4"/>
  <c r="BL486" i="4"/>
  <c r="BL124" i="4"/>
  <c r="BL604" i="4"/>
  <c r="BL608" i="4"/>
  <c r="BL452" i="4"/>
  <c r="BL2" i="4"/>
  <c r="BL227" i="4"/>
  <c r="BL286" i="4"/>
  <c r="BL441" i="4"/>
  <c r="BL175" i="4"/>
  <c r="BL77" i="4"/>
  <c r="BL587" i="4"/>
  <c r="BL333" i="4"/>
  <c r="BL586" i="4"/>
  <c r="BL548" i="4"/>
  <c r="BL228" i="4"/>
  <c r="BL570" i="4"/>
  <c r="BL304" i="4"/>
  <c r="BL558" i="4"/>
  <c r="BL390" i="4"/>
  <c r="BL487" i="4"/>
  <c r="BL391" i="4"/>
  <c r="BL507" i="4"/>
  <c r="BL377" i="4"/>
  <c r="BL176" i="4"/>
  <c r="BL591" i="4"/>
  <c r="BL576" i="4"/>
  <c r="BL551" i="4"/>
  <c r="BL354" i="4"/>
  <c r="BL125" i="4"/>
  <c r="BL571" i="4"/>
  <c r="BL378" i="4"/>
  <c r="BL379" i="4"/>
  <c r="BL177" i="4"/>
  <c r="BL528" i="4"/>
  <c r="BL178" i="4"/>
  <c r="BL424" i="4"/>
  <c r="BL21" i="4"/>
  <c r="BL229" i="4"/>
  <c r="BL305" i="4"/>
  <c r="BL78" i="4"/>
  <c r="BL590" i="4"/>
  <c r="BL567" i="4"/>
  <c r="BL580" i="4"/>
  <c r="BL488" i="4"/>
  <c r="BL380" i="4"/>
  <c r="BL526" i="4"/>
  <c r="BL317" i="4"/>
  <c r="BL435" i="4"/>
  <c r="BL334" i="4"/>
  <c r="BL411" i="4"/>
  <c r="BL546" i="4"/>
  <c r="BL425" i="4"/>
  <c r="BL287" i="4"/>
  <c r="BL392" i="4"/>
  <c r="BL460" i="4"/>
  <c r="BL230" i="4"/>
  <c r="BL79" i="4"/>
  <c r="BL260" i="4"/>
  <c r="BL426" i="4"/>
  <c r="BL4" i="4"/>
  <c r="BL355" i="4"/>
  <c r="BL509" i="4"/>
  <c r="BL80" i="4"/>
  <c r="BL402" i="4"/>
  <c r="BL335" i="4"/>
  <c r="BL442" i="4"/>
  <c r="BL403" i="4"/>
  <c r="BL12" i="4"/>
  <c r="BL126" i="4"/>
  <c r="BL596" i="4"/>
  <c r="BL179" i="4"/>
  <c r="BL356" i="4"/>
  <c r="BL545" i="4"/>
  <c r="BL593" i="4"/>
  <c r="BL180" i="4"/>
  <c r="BL261" i="4"/>
  <c r="BL318" i="4"/>
  <c r="BL492" i="4"/>
  <c r="BL336" i="4"/>
  <c r="BL81" i="4"/>
  <c r="BL231" i="4"/>
  <c r="BL319" i="4"/>
  <c r="BL232" i="4"/>
  <c r="BL357" i="4"/>
  <c r="BL181" i="4"/>
  <c r="BL22" i="4"/>
  <c r="BL337" i="4"/>
  <c r="BL127" i="4"/>
  <c r="BL128" i="4"/>
  <c r="BL559" i="4"/>
  <c r="BL338" i="4"/>
  <c r="BL427" i="4"/>
  <c r="BL13" i="4"/>
  <c r="BL182" i="4"/>
  <c r="BL82" i="4"/>
  <c r="BL262" i="4"/>
  <c r="BL83" i="4"/>
  <c r="BL471" i="4"/>
  <c r="BL306" i="4"/>
  <c r="BL358" i="4"/>
  <c r="BL84" i="4"/>
  <c r="BL339" i="4"/>
  <c r="BL503" i="4"/>
  <c r="BL572" i="4"/>
  <c r="BL508" i="4"/>
  <c r="BL183" i="4"/>
  <c r="BL477" i="4"/>
  <c r="BL263" i="4"/>
  <c r="BL233" i="4"/>
  <c r="BL16" i="4"/>
  <c r="BL381" i="4"/>
  <c r="BL129" i="4"/>
  <c r="BL85" i="4"/>
  <c r="BL472" i="4"/>
  <c r="BL404" i="4"/>
  <c r="BL320" i="4"/>
  <c r="BL184" i="4"/>
  <c r="BL234" i="4"/>
  <c r="BL412" i="4"/>
  <c r="BL359" i="4"/>
  <c r="BL574" i="4"/>
  <c r="BL493" i="4"/>
  <c r="BL577" i="4"/>
  <c r="BL538" i="4"/>
  <c r="BL288" i="4"/>
  <c r="BL185" i="4"/>
  <c r="BL289" i="4"/>
  <c r="BL413" i="4"/>
  <c r="BL532" i="4"/>
  <c r="BL130" i="4"/>
  <c r="BL307" i="4"/>
  <c r="BL405" i="4"/>
  <c r="BL321" i="4"/>
  <c r="BL494" i="4"/>
  <c r="BL514" i="4"/>
  <c r="BL406" i="4"/>
  <c r="BL443" i="4"/>
  <c r="BL444" i="4"/>
  <c r="BL186" i="4"/>
  <c r="BL23" i="4"/>
  <c r="BL24" i="4"/>
  <c r="BL382" i="4"/>
  <c r="BL445" i="4"/>
  <c r="BL592" i="4"/>
  <c r="BL17" i="4"/>
  <c r="BL414" i="4"/>
  <c r="BL340" i="4"/>
  <c r="BL383" i="4"/>
  <c r="BL86" i="4"/>
  <c r="BL235" i="4"/>
  <c r="BL322" i="4"/>
  <c r="BL495" i="4"/>
  <c r="BL473" i="4"/>
  <c r="BL87" i="4"/>
  <c r="BL341" i="4"/>
  <c r="BL131" i="4"/>
  <c r="BL88" i="4"/>
  <c r="BL132" i="4"/>
  <c r="BL187" i="4"/>
  <c r="BL384" i="4"/>
  <c r="BL188" i="4"/>
  <c r="BL479" i="4"/>
  <c r="BL236" i="4"/>
  <c r="BL133" i="4"/>
  <c r="BL189" i="4"/>
  <c r="BL385" i="4"/>
  <c r="BL190" i="4"/>
  <c r="BL529" i="4"/>
  <c r="BL191" i="4"/>
  <c r="BL192" i="4"/>
  <c r="BL436" i="4"/>
  <c r="BL264" i="4"/>
  <c r="BL89" i="4"/>
  <c r="BL9" i="4"/>
  <c r="BL407" i="4"/>
  <c r="BL484" i="4"/>
  <c r="BL453" i="4"/>
  <c r="BL134" i="4"/>
  <c r="BL25" i="4"/>
  <c r="BL265" i="4"/>
  <c r="BL237" i="4"/>
  <c r="BL386" i="4"/>
  <c r="BL428" i="4"/>
  <c r="BL193" i="4"/>
  <c r="BL415" i="4"/>
  <c r="BL308" i="4"/>
  <c r="BL416" i="4"/>
  <c r="BL194" i="4"/>
  <c r="BL360" i="4"/>
  <c r="BL560" i="4"/>
  <c r="BL266" i="4"/>
  <c r="BL90" i="4"/>
  <c r="BL195" i="4"/>
  <c r="BL465" i="4"/>
  <c r="BL309" i="4"/>
  <c r="BL323" i="4"/>
  <c r="BL196" i="4"/>
  <c r="BL238" i="4"/>
  <c r="BL454" i="4"/>
  <c r="BL91" i="4"/>
  <c r="BL92" i="4"/>
  <c r="BL26" i="4"/>
  <c r="BL135" i="4"/>
  <c r="BL565" i="4"/>
  <c r="BL568" i="4"/>
  <c r="BL197" i="4"/>
  <c r="BL239" i="4"/>
  <c r="BL324" i="4"/>
  <c r="BL93" i="4"/>
  <c r="BL94" i="4"/>
  <c r="BL290" i="4"/>
  <c r="BL563" i="4"/>
  <c r="BL396" i="4"/>
  <c r="BL520" i="4"/>
  <c r="BL408" i="4"/>
  <c r="BL361" i="4"/>
  <c r="BL291" i="4"/>
  <c r="BL136" i="4"/>
  <c r="BL342" i="4"/>
  <c r="BL198" i="4"/>
  <c r="BL14" i="4"/>
  <c r="BL598" i="4"/>
  <c r="BL455" i="4"/>
  <c r="BL397" i="4"/>
  <c r="BL343" i="4"/>
  <c r="BL95" i="4"/>
  <c r="BL387" i="4"/>
  <c r="BL96" i="4"/>
  <c r="BL199" i="4"/>
  <c r="BL466" i="4"/>
  <c r="BL325" i="4"/>
  <c r="BL200" i="4"/>
  <c r="BL437" i="4"/>
  <c r="BL97" i="4"/>
  <c r="BL201" i="4"/>
  <c r="BL292" i="4"/>
  <c r="BL326" i="4"/>
  <c r="BL98" i="4"/>
  <c r="BL267" i="4"/>
  <c r="BL3" i="4"/>
  <c r="BL569" i="4"/>
  <c r="BL99" i="4"/>
  <c r="BL496" i="4"/>
  <c r="BL417" i="4"/>
  <c r="BX675" i="4" l="1"/>
  <c r="BP97" i="4"/>
  <c r="BP598" i="4"/>
  <c r="BP94" i="4"/>
  <c r="BP238" i="4"/>
  <c r="BP308" i="4"/>
  <c r="BX308" i="4" s="1"/>
  <c r="CA308" i="4" s="1"/>
  <c r="BX665" i="4"/>
  <c r="BP2" i="4"/>
  <c r="BX2" i="4" s="1"/>
  <c r="CA2" i="4" s="1"/>
  <c r="BX686" i="4"/>
  <c r="CA686" i="4" s="1"/>
  <c r="CB686" i="4" s="1"/>
  <c r="BX638" i="4"/>
  <c r="CA638" i="4" s="1"/>
  <c r="CB638" i="4" s="1"/>
  <c r="BX610" i="4"/>
  <c r="CA610" i="4" s="1"/>
  <c r="CB610" i="4" s="1"/>
  <c r="BX659" i="4"/>
  <c r="BX680" i="4"/>
  <c r="CA680" i="4" s="1"/>
  <c r="BP9" i="4"/>
  <c r="BX9" i="4" s="1"/>
  <c r="CA9" i="4" s="1"/>
  <c r="BP479" i="4"/>
  <c r="BX479" i="4" s="1"/>
  <c r="BP235" i="4"/>
  <c r="BX235" i="4" s="1"/>
  <c r="CA235" i="4" s="1"/>
  <c r="BP267" i="4"/>
  <c r="BX267" i="4" s="1"/>
  <c r="CA267" i="4" s="1"/>
  <c r="BP387" i="4"/>
  <c r="BX387" i="4" s="1"/>
  <c r="CA387" i="4" s="1"/>
  <c r="BP408" i="4"/>
  <c r="BX408" i="4" s="1"/>
  <c r="CA408" i="4" s="1"/>
  <c r="BP135" i="4"/>
  <c r="BX135" i="4" s="1"/>
  <c r="CA135" i="4" s="1"/>
  <c r="BP266" i="4"/>
  <c r="BX266" i="4" s="1"/>
  <c r="CA266" i="4" s="1"/>
  <c r="BP25" i="4"/>
  <c r="BX25" i="4" s="1"/>
  <c r="CA25" i="4" s="1"/>
  <c r="BP190" i="4"/>
  <c r="BX190" i="4" s="1"/>
  <c r="CA190" i="4" s="1"/>
  <c r="BP341" i="4"/>
  <c r="BX341" i="4" s="1"/>
  <c r="CA341" i="4" s="1"/>
  <c r="BP445" i="4"/>
  <c r="BP412" i="4"/>
  <c r="BP477" i="4"/>
  <c r="BX477" i="4" s="1"/>
  <c r="CA477" i="4" s="1"/>
  <c r="BP82" i="4"/>
  <c r="BX82" i="4" s="1"/>
  <c r="CA82" i="4" s="1"/>
  <c r="BP232" i="4"/>
  <c r="BX232" i="4" s="1"/>
  <c r="CA232" i="4" s="1"/>
  <c r="BP179" i="4"/>
  <c r="BX179" i="4" s="1"/>
  <c r="CA179" i="4" s="1"/>
  <c r="BP426" i="4"/>
  <c r="BX426" i="4" s="1"/>
  <c r="CA426" i="4" s="1"/>
  <c r="BP317" i="4"/>
  <c r="BP178" i="4"/>
  <c r="BX178" i="4" s="1"/>
  <c r="CA178" i="4" s="1"/>
  <c r="BP377" i="4"/>
  <c r="BX377" i="4" s="1"/>
  <c r="CA377" i="4" s="1"/>
  <c r="BP587" i="4"/>
  <c r="BX587" i="4" s="1"/>
  <c r="CA587" i="4" s="1"/>
  <c r="BP303" i="4"/>
  <c r="BX303" i="4" s="1"/>
  <c r="CA303" i="4" s="1"/>
  <c r="BP483" i="4"/>
  <c r="BP122" i="4"/>
  <c r="BX122" i="4" s="1"/>
  <c r="CA122" i="4" s="1"/>
  <c r="BP518" i="4"/>
  <c r="BX518" i="4" s="1"/>
  <c r="CA518" i="4" s="1"/>
  <c r="BP511" i="4"/>
  <c r="BX511" i="4" s="1"/>
  <c r="CA511" i="4" s="1"/>
  <c r="BP347" i="4"/>
  <c r="BX347" i="4" s="1"/>
  <c r="CA347" i="4" s="1"/>
  <c r="BP369" i="4"/>
  <c r="BX369" i="4" s="1"/>
  <c r="CA369" i="4" s="1"/>
  <c r="BP312" i="4"/>
  <c r="BX312" i="4" s="1"/>
  <c r="CA312" i="4" s="1"/>
  <c r="BP421" i="4"/>
  <c r="BX421" i="4" s="1"/>
  <c r="CA421" i="4" s="1"/>
  <c r="BP280" i="4"/>
  <c r="BX280" i="4" s="1"/>
  <c r="CA280" i="4" s="1"/>
  <c r="BP223" i="4"/>
  <c r="BX223" i="4" s="1"/>
  <c r="CA223" i="4" s="1"/>
  <c r="BP157" i="4"/>
  <c r="BX157" i="4" s="1"/>
  <c r="CA157" i="4" s="1"/>
  <c r="BP296" i="4"/>
  <c r="BX296" i="4" s="1"/>
  <c r="CA296" i="4" s="1"/>
  <c r="BP74" i="4"/>
  <c r="BX74" i="4" s="1"/>
  <c r="CA74" i="4" s="1"/>
  <c r="BP547" i="4"/>
  <c r="BX547" i="4" s="1"/>
  <c r="CA547" i="4" s="1"/>
  <c r="BP58" i="4"/>
  <c r="BX58" i="4" s="1"/>
  <c r="CA58" i="4" s="1"/>
  <c r="BP148" i="4"/>
  <c r="BX148" i="4" s="1"/>
  <c r="CA148" i="4" s="1"/>
  <c r="BX667" i="4"/>
  <c r="CA667" i="4" s="1"/>
  <c r="CB667" i="4" s="1"/>
  <c r="BX662" i="4"/>
  <c r="CA662" i="4" s="1"/>
  <c r="CB662" i="4" s="1"/>
  <c r="BX656" i="4"/>
  <c r="BX687" i="4"/>
  <c r="CA687" i="4" s="1"/>
  <c r="CB687" i="4" s="1"/>
  <c r="BX694" i="4"/>
  <c r="CA694" i="4" s="1"/>
  <c r="CB694" i="4" s="1"/>
  <c r="BX632" i="4"/>
  <c r="CA632" i="4" s="1"/>
  <c r="BX681" i="4"/>
  <c r="BX668" i="4"/>
  <c r="BX671" i="4"/>
  <c r="CA671" i="4" s="1"/>
  <c r="BX646" i="4"/>
  <c r="CA646" i="4" s="1"/>
  <c r="BX609" i="4"/>
  <c r="BP444" i="4"/>
  <c r="BX444" i="4" s="1"/>
  <c r="CA444" i="4" s="1"/>
  <c r="BP185" i="4"/>
  <c r="BX185" i="4" s="1"/>
  <c r="CA185" i="4" s="1"/>
  <c r="BP472" i="4"/>
  <c r="BX472" i="4" s="1"/>
  <c r="CA472" i="4" s="1"/>
  <c r="BP339" i="4"/>
  <c r="BX339" i="4" s="1"/>
  <c r="CA339" i="4" s="1"/>
  <c r="BP559" i="4"/>
  <c r="BX559" i="4" s="1"/>
  <c r="CA559" i="4" s="1"/>
  <c r="BP492" i="4"/>
  <c r="BX492" i="4" s="1"/>
  <c r="CA492" i="4" s="1"/>
  <c r="BP442" i="4"/>
  <c r="BX442" i="4" s="1"/>
  <c r="CA442" i="4" s="1"/>
  <c r="BP392" i="4"/>
  <c r="BX392" i="4" s="1"/>
  <c r="CA392" i="4" s="1"/>
  <c r="BP567" i="4"/>
  <c r="BX567" i="4" s="1"/>
  <c r="CA567" i="4" s="1"/>
  <c r="BP571" i="4"/>
  <c r="BX571" i="4" s="1"/>
  <c r="CA571" i="4" s="1"/>
  <c r="BP558" i="4"/>
  <c r="BX558" i="4" s="1"/>
  <c r="CA558" i="4" s="1"/>
  <c r="BP227" i="4"/>
  <c r="BX227" i="4" s="1"/>
  <c r="CA227" i="4" s="1"/>
  <c r="BP423" i="4"/>
  <c r="BX423" i="4" s="1"/>
  <c r="CA423" i="4" s="1"/>
  <c r="BP584" i="4"/>
  <c r="BX584" i="4" s="1"/>
  <c r="CA584" i="4" s="1"/>
  <c r="BP173" i="4"/>
  <c r="BX173" i="4" s="1"/>
  <c r="CA173" i="4" s="1"/>
  <c r="BP459" i="4"/>
  <c r="BX459" i="4" s="1"/>
  <c r="CA459" i="4" s="1"/>
  <c r="BP331" i="4"/>
  <c r="BX331" i="4" s="1"/>
  <c r="CA331" i="4" s="1"/>
  <c r="BP553" i="4"/>
  <c r="BX553" i="4" s="1"/>
  <c r="CA553" i="4" s="1"/>
  <c r="BP120" i="4"/>
  <c r="BX120" i="4" s="1"/>
  <c r="CA120" i="4" s="1"/>
  <c r="BP226" i="4"/>
  <c r="BX226" i="4" s="1"/>
  <c r="CA226" i="4" s="1"/>
  <c r="BP506" i="4"/>
  <c r="BX506" i="4" s="1"/>
  <c r="CA506" i="4" s="1"/>
  <c r="BP167" i="4"/>
  <c r="BX167" i="4" s="1"/>
  <c r="BP164" i="4"/>
  <c r="BX164" i="4" s="1"/>
  <c r="BP159" i="4"/>
  <c r="BX159" i="4" s="1"/>
  <c r="CA159" i="4" s="1"/>
  <c r="BP115" i="4"/>
  <c r="BX115" i="4" s="1"/>
  <c r="BP519" i="4"/>
  <c r="BX519" i="4" s="1"/>
  <c r="CA519" i="4" s="1"/>
  <c r="BP70" i="4"/>
  <c r="BX70" i="4" s="1"/>
  <c r="CA70" i="4" s="1"/>
  <c r="BP399" i="4"/>
  <c r="BX399" i="4" s="1"/>
  <c r="CA399" i="4" s="1"/>
  <c r="BP61" i="4"/>
  <c r="BX61" i="4" s="1"/>
  <c r="CA61" i="4" s="1"/>
  <c r="BP56" i="4"/>
  <c r="BX56" i="4" s="1"/>
  <c r="CA56" i="4" s="1"/>
  <c r="BP106" i="4"/>
  <c r="BX106" i="4" s="1"/>
  <c r="CA106" i="4" s="1"/>
  <c r="BP146" i="4"/>
  <c r="BX146" i="4" s="1"/>
  <c r="CA146" i="4" s="1"/>
  <c r="BP145" i="4"/>
  <c r="BX145" i="4" s="1"/>
  <c r="CA145" i="4" s="1"/>
  <c r="BP102" i="4"/>
  <c r="BX102" i="4" s="1"/>
  <c r="CA102" i="4" s="1"/>
  <c r="BP209" i="4"/>
  <c r="BX209" i="4" s="1"/>
  <c r="CA209" i="4" s="1"/>
  <c r="BP250" i="4"/>
  <c r="BX250" i="4" s="1"/>
  <c r="CA250" i="4" s="1"/>
  <c r="BP140" i="4"/>
  <c r="BX140" i="4" s="1"/>
  <c r="CA140" i="4" s="1"/>
  <c r="BP246" i="4"/>
  <c r="BX246" i="4" s="1"/>
  <c r="CA246" i="4" s="1"/>
  <c r="BP272" i="4"/>
  <c r="BX272" i="4" s="1"/>
  <c r="CA272" i="4" s="1"/>
  <c r="BP539" i="4"/>
  <c r="BX539" i="4" s="1"/>
  <c r="CA539" i="4" s="1"/>
  <c r="BP27" i="4"/>
  <c r="BX657" i="4"/>
  <c r="CA657" i="4" s="1"/>
  <c r="BX669" i="4"/>
  <c r="BX644" i="4"/>
  <c r="CA644" i="4" s="1"/>
  <c r="CB644" i="4" s="1"/>
  <c r="BX647" i="4"/>
  <c r="CA647" i="4" s="1"/>
  <c r="BX695" i="4"/>
  <c r="CA695" i="4" s="1"/>
  <c r="CB695" i="4" s="1"/>
  <c r="BX670" i="4"/>
  <c r="BX663" i="4"/>
  <c r="CA663" i="4" s="1"/>
  <c r="CB663" i="4" s="1"/>
  <c r="BX634" i="4"/>
  <c r="CA634" i="4" s="1"/>
  <c r="CB634" i="4" s="1"/>
  <c r="BX683" i="4"/>
  <c r="BX645" i="4"/>
  <c r="CA645" i="4" s="1"/>
  <c r="BX620" i="4"/>
  <c r="BX611" i="4"/>
  <c r="CA611" i="4" s="1"/>
  <c r="CB611" i="4" s="1"/>
  <c r="BX664" i="4"/>
  <c r="CA664" i="4" s="1"/>
  <c r="BX623" i="4"/>
  <c r="CA623" i="4" s="1"/>
  <c r="BX615" i="4"/>
  <c r="CA615" i="4" s="1"/>
  <c r="BX676" i="4"/>
  <c r="CA676" i="4" s="1"/>
  <c r="BX654" i="4"/>
  <c r="CA654" i="4" s="1"/>
  <c r="CB654" i="4" s="1"/>
  <c r="BX635" i="4"/>
  <c r="CA635" i="4" s="1"/>
  <c r="CB635" i="4" s="1"/>
  <c r="BX684" i="4"/>
  <c r="CA684" i="4" s="1"/>
  <c r="CB684" i="4" s="1"/>
  <c r="BX642" i="4"/>
  <c r="CA642" i="4" s="1"/>
  <c r="BX672" i="4"/>
  <c r="CA672" i="4" s="1"/>
  <c r="CB672" i="4" s="1"/>
  <c r="BX627" i="4"/>
  <c r="CA627" i="4" s="1"/>
  <c r="CB627" i="4" s="1"/>
  <c r="BX688" i="4"/>
  <c r="CA688" i="4" s="1"/>
  <c r="BX693" i="4"/>
  <c r="CA693" i="4" s="1"/>
  <c r="BX696" i="4"/>
  <c r="CA696" i="4" s="1"/>
  <c r="CB696" i="4" s="1"/>
  <c r="BX639" i="4"/>
  <c r="CA639" i="4" s="1"/>
  <c r="CB639" i="4" s="1"/>
  <c r="CC639" i="4" s="1"/>
  <c r="BX617" i="4"/>
  <c r="CA617" i="4" s="1"/>
  <c r="CB617" i="4" s="1"/>
  <c r="BX678" i="4"/>
  <c r="CA678" i="4" s="1"/>
  <c r="BX637" i="4"/>
  <c r="CA637" i="4" s="1"/>
  <c r="CB637" i="4" s="1"/>
  <c r="BX483" i="4"/>
  <c r="CA483" i="4" s="1"/>
  <c r="BX651" i="4"/>
  <c r="CA651" i="4" s="1"/>
  <c r="CB651" i="4" s="1"/>
  <c r="BX690" i="4"/>
  <c r="CA690" i="4" s="1"/>
  <c r="BX622" i="4"/>
  <c r="CA622" i="4" s="1"/>
  <c r="CB622" i="4" s="1"/>
  <c r="BX673" i="4"/>
  <c r="CA673" i="4" s="1"/>
  <c r="CB673" i="4" s="1"/>
  <c r="BX641" i="4"/>
  <c r="CA641" i="4" s="1"/>
  <c r="CB641" i="4" s="1"/>
  <c r="BX619" i="4"/>
  <c r="BX661" i="4"/>
  <c r="CA661" i="4" s="1"/>
  <c r="CB661" i="4" s="1"/>
  <c r="BX445" i="4"/>
  <c r="CA445" i="4" s="1"/>
  <c r="BX614" i="4"/>
  <c r="CA614" i="4" s="1"/>
  <c r="CB614" i="4" s="1"/>
  <c r="BX631" i="4"/>
  <c r="CA631" i="4" s="1"/>
  <c r="CB631" i="4" s="1"/>
  <c r="BX692" i="4"/>
  <c r="CA692" i="4" s="1"/>
  <c r="CB692" i="4" s="1"/>
  <c r="BX625" i="4"/>
  <c r="CA625" i="4" s="1"/>
  <c r="CB625" i="4" s="1"/>
  <c r="BX626" i="4"/>
  <c r="CA626" i="4" s="1"/>
  <c r="CB626" i="4" s="1"/>
  <c r="BX658" i="4"/>
  <c r="BX612" i="4"/>
  <c r="CA612" i="4" s="1"/>
  <c r="CB612" i="4" s="1"/>
  <c r="BX649" i="4"/>
  <c r="CA649" i="4" s="1"/>
  <c r="CB649" i="4" s="1"/>
  <c r="BX97" i="4"/>
  <c r="CA97" i="4" s="1"/>
  <c r="BX27" i="4"/>
  <c r="CA27" i="4" s="1"/>
  <c r="BX616" i="4"/>
  <c r="CA616" i="4" s="1"/>
  <c r="CB616" i="4" s="1"/>
  <c r="BX677" i="4"/>
  <c r="CA677" i="4" s="1"/>
  <c r="CB677" i="4" s="1"/>
  <c r="BX621" i="4"/>
  <c r="CA621" i="4" s="1"/>
  <c r="BX624" i="4"/>
  <c r="CA624" i="4" s="1"/>
  <c r="CB624" i="4" s="1"/>
  <c r="BX685" i="4"/>
  <c r="CA685" i="4" s="1"/>
  <c r="CB685" i="4" s="1"/>
  <c r="BX412" i="4"/>
  <c r="CA412" i="4" s="1"/>
  <c r="BX94" i="4"/>
  <c r="CA94" i="4" s="1"/>
  <c r="BX650" i="4"/>
  <c r="CA650" i="4" s="1"/>
  <c r="CB650" i="4" s="1"/>
  <c r="BX628" i="4"/>
  <c r="CA628" i="4" s="1"/>
  <c r="CB628" i="4" s="1"/>
  <c r="BX689" i="4"/>
  <c r="CA689" i="4" s="1"/>
  <c r="BX633" i="4"/>
  <c r="BX682" i="4"/>
  <c r="CA682" i="4" s="1"/>
  <c r="CB682" i="4" s="1"/>
  <c r="BX636" i="4"/>
  <c r="CA636" i="4" s="1"/>
  <c r="CB636" i="4" s="1"/>
  <c r="BX613" i="4"/>
  <c r="CA613" i="4" s="1"/>
  <c r="CB613" i="4" s="1"/>
  <c r="BX598" i="4"/>
  <c r="CA598" i="4" s="1"/>
  <c r="BX238" i="4"/>
  <c r="CA238" i="4" s="1"/>
  <c r="BX640" i="4"/>
  <c r="CA640" i="4" s="1"/>
  <c r="CB640" i="4" s="1"/>
  <c r="BX618" i="4"/>
  <c r="CA618" i="4" s="1"/>
  <c r="BX679" i="4"/>
  <c r="CA679" i="4" s="1"/>
  <c r="CB679" i="4" s="1"/>
  <c r="BX648" i="4"/>
  <c r="CA648" i="4" s="1"/>
  <c r="CB648" i="4" s="1"/>
  <c r="BX317" i="4"/>
  <c r="CA317" i="4" s="1"/>
  <c r="BX674" i="4"/>
  <c r="CA674" i="4" s="1"/>
  <c r="CB674" i="4" s="1"/>
  <c r="BX652" i="4"/>
  <c r="CA652" i="4" s="1"/>
  <c r="CB652" i="4" s="1"/>
  <c r="BX630" i="4"/>
  <c r="CA630" i="4" s="1"/>
  <c r="CB630" i="4" s="1"/>
  <c r="BX691" i="4"/>
  <c r="CA691" i="4" s="1"/>
  <c r="CB691" i="4" s="1"/>
  <c r="BX660" i="4"/>
  <c r="CA660" i="4" s="1"/>
  <c r="CB660" i="4" s="1"/>
  <c r="CA666" i="4"/>
  <c r="BP522" i="4"/>
  <c r="BP345" i="4"/>
  <c r="BP575" i="4"/>
  <c r="BP211" i="4"/>
  <c r="BP432" i="4"/>
  <c r="BP206" i="4"/>
  <c r="BX206" i="4" s="1"/>
  <c r="CA206" i="4" s="1"/>
  <c r="BP203" i="4"/>
  <c r="BP430" i="4"/>
  <c r="BX430" i="4" s="1"/>
  <c r="CA430" i="4" s="1"/>
  <c r="BP461" i="4"/>
  <c r="CA656" i="4"/>
  <c r="CB656" i="4" s="1"/>
  <c r="BP201" i="4"/>
  <c r="BP455" i="4"/>
  <c r="BP290" i="4"/>
  <c r="BP454" i="4"/>
  <c r="BP416" i="4"/>
  <c r="BP407" i="4"/>
  <c r="BP236" i="4"/>
  <c r="BP322" i="4"/>
  <c r="BP186" i="4"/>
  <c r="BP289" i="4"/>
  <c r="BP404" i="4"/>
  <c r="BP503" i="4"/>
  <c r="BP338" i="4"/>
  <c r="BP336" i="4"/>
  <c r="BP403" i="4"/>
  <c r="BP460" i="4"/>
  <c r="BP580" i="4"/>
  <c r="BP378" i="4"/>
  <c r="BP390" i="4"/>
  <c r="BP286" i="4"/>
  <c r="BP123" i="4"/>
  <c r="BP537" i="4"/>
  <c r="BP375" i="4"/>
  <c r="BX375" i="4" s="1"/>
  <c r="CA375" i="4" s="1"/>
  <c r="BP469" i="4"/>
  <c r="BP482" i="4"/>
  <c r="BP556" i="4"/>
  <c r="BP531" i="4"/>
  <c r="BX531" i="4" s="1"/>
  <c r="CA531" i="4" s="1"/>
  <c r="BP119" i="4"/>
  <c r="BP368" i="4"/>
  <c r="BP258" i="4"/>
  <c r="BP481" i="4"/>
  <c r="BP160" i="4"/>
  <c r="BP222" i="4"/>
  <c r="BP256" i="4"/>
  <c r="BP71" i="4"/>
  <c r="BP66" i="4"/>
  <c r="BP252" i="4"/>
  <c r="BP150" i="4"/>
  <c r="BP50" i="4"/>
  <c r="BP295" i="4"/>
  <c r="BP216" i="4"/>
  <c r="BP213" i="4"/>
  <c r="BX213" i="4" s="1"/>
  <c r="CA213" i="4" s="1"/>
  <c r="BP35" i="4"/>
  <c r="BX35" i="4" s="1"/>
  <c r="BP533" i="4"/>
  <c r="BP310" i="4"/>
  <c r="BP247" i="4"/>
  <c r="BX247" i="4" s="1"/>
  <c r="CA247" i="4" s="1"/>
  <c r="BP393" i="4"/>
  <c r="BX393" i="4" s="1"/>
  <c r="CA393" i="4" s="1"/>
  <c r="BQ102" i="4"/>
  <c r="BW102" i="4" s="1"/>
  <c r="BY102" i="4" s="1"/>
  <c r="BQ570" i="4"/>
  <c r="BW570" i="4" s="1"/>
  <c r="BY570" i="4" s="1"/>
  <c r="BQ79" i="4"/>
  <c r="BW79" i="4" s="1"/>
  <c r="BY79" i="4" s="1"/>
  <c r="BQ37" i="4"/>
  <c r="BW37" i="4" s="1"/>
  <c r="BY37" i="4" s="1"/>
  <c r="BQ534" i="4"/>
  <c r="BW534" i="4" s="1"/>
  <c r="BY534" i="4" s="1"/>
  <c r="BQ4" i="4"/>
  <c r="BW4" i="4" s="1"/>
  <c r="BY4" i="4" s="1"/>
  <c r="BQ265" i="4"/>
  <c r="BW265" i="4" s="1"/>
  <c r="BY265" i="4" s="1"/>
  <c r="BQ362" i="4"/>
  <c r="BW362" i="4" s="1"/>
  <c r="BY362" i="4" s="1"/>
  <c r="BQ539" i="4"/>
  <c r="BW539" i="4" s="1"/>
  <c r="BY539" i="4" s="1"/>
  <c r="BQ274" i="4"/>
  <c r="BW274" i="4" s="1"/>
  <c r="BY274" i="4" s="1"/>
  <c r="BQ212" i="4"/>
  <c r="BW212" i="4" s="1"/>
  <c r="BY212" i="4" s="1"/>
  <c r="BQ146" i="4"/>
  <c r="BW146" i="4" s="1"/>
  <c r="BY146" i="4" s="1"/>
  <c r="BQ60" i="4"/>
  <c r="BW60" i="4" s="1"/>
  <c r="BY60" i="4" s="1"/>
  <c r="BQ221" i="4"/>
  <c r="BW221" i="4" s="1"/>
  <c r="BY221" i="4" s="1"/>
  <c r="BQ420" i="4"/>
  <c r="BW420" i="4" s="1"/>
  <c r="BY420" i="4" s="1"/>
  <c r="BQ282" i="4"/>
  <c r="BW282" i="4" s="1"/>
  <c r="BY282" i="4" s="1"/>
  <c r="BQ348" i="4"/>
  <c r="BW348" i="4" s="1"/>
  <c r="BY348" i="4" s="1"/>
  <c r="BQ476" i="4"/>
  <c r="BW476" i="4" s="1"/>
  <c r="BY476" i="4" s="1"/>
  <c r="BQ77" i="4"/>
  <c r="BW77" i="4" s="1"/>
  <c r="BY77" i="4" s="1"/>
  <c r="BQ526" i="4"/>
  <c r="BW526" i="4" s="1"/>
  <c r="BY526" i="4" s="1"/>
  <c r="BQ261" i="4"/>
  <c r="BW261" i="4" s="1"/>
  <c r="BY261" i="4" s="1"/>
  <c r="BQ183" i="4"/>
  <c r="BW183" i="4" s="1"/>
  <c r="BY183" i="4" s="1"/>
  <c r="BQ444" i="4"/>
  <c r="BW444" i="4" s="1"/>
  <c r="BY444" i="4" s="1"/>
  <c r="BQ264" i="4"/>
  <c r="BW264" i="4" s="1"/>
  <c r="BY264" i="4" s="1"/>
  <c r="BQ26" i="4"/>
  <c r="BW26" i="4" s="1"/>
  <c r="BY26" i="4" s="1"/>
  <c r="BQ95" i="4"/>
  <c r="BW95" i="4" s="1"/>
  <c r="BY95" i="4" s="1"/>
  <c r="BQ39" i="4"/>
  <c r="BW39" i="4" s="1"/>
  <c r="BY39" i="4" s="1"/>
  <c r="BQ166" i="4"/>
  <c r="BW166" i="4" s="1"/>
  <c r="BY166" i="4" s="1"/>
  <c r="BQ470" i="4"/>
  <c r="BW470" i="4" s="1"/>
  <c r="BY470" i="4" s="1"/>
  <c r="BQ460" i="4"/>
  <c r="BW460" i="4" s="1"/>
  <c r="BY460" i="4" s="1"/>
  <c r="BQ508" i="4"/>
  <c r="BW508" i="4" s="1"/>
  <c r="BY508" i="4" s="1"/>
  <c r="BQ189" i="4"/>
  <c r="BW189" i="4" s="1"/>
  <c r="BY189" i="4" s="1"/>
  <c r="BQ343" i="4"/>
  <c r="BW343" i="4" s="1"/>
  <c r="BY343" i="4" s="1"/>
  <c r="BQ306" i="4"/>
  <c r="BW306" i="4" s="1"/>
  <c r="BY306" i="4" s="1"/>
  <c r="BQ430" i="4"/>
  <c r="BW430" i="4" s="1"/>
  <c r="BY430" i="4" s="1"/>
  <c r="BQ247" i="4"/>
  <c r="BW247" i="4" s="1"/>
  <c r="BY247" i="4" s="1"/>
  <c r="BQ554" i="4"/>
  <c r="BW554" i="4" s="1"/>
  <c r="BY554" i="4" s="1"/>
  <c r="BQ142" i="4"/>
  <c r="BW142" i="4" s="1"/>
  <c r="BY142" i="4" s="1"/>
  <c r="BQ104" i="4"/>
  <c r="BW104" i="4" s="1"/>
  <c r="BY104" i="4" s="1"/>
  <c r="BQ277" i="4"/>
  <c r="BW277" i="4" s="1"/>
  <c r="BY277" i="4" s="1"/>
  <c r="BQ252" i="4"/>
  <c r="BW252" i="4" s="1"/>
  <c r="BY252" i="4" s="1"/>
  <c r="BQ71" i="4"/>
  <c r="BW71" i="4" s="1"/>
  <c r="BY71" i="4" s="1"/>
  <c r="BQ500" i="4"/>
  <c r="BW500" i="4" s="1"/>
  <c r="BY500" i="4" s="1"/>
  <c r="BQ223" i="4"/>
  <c r="BW223" i="4" s="1"/>
  <c r="BY223" i="4" s="1"/>
  <c r="BQ421" i="4"/>
  <c r="BW421" i="4" s="1"/>
  <c r="BY421" i="4" s="1"/>
  <c r="BQ119" i="4"/>
  <c r="BW119" i="4" s="1"/>
  <c r="BY119" i="4" s="1"/>
  <c r="BQ556" i="4"/>
  <c r="BW556" i="4" s="1"/>
  <c r="BY556" i="4" s="1"/>
  <c r="BQ171" i="4"/>
  <c r="BW171" i="4" s="1"/>
  <c r="BY171" i="4" s="1"/>
  <c r="BQ353" i="4"/>
  <c r="BW353" i="4" s="1"/>
  <c r="BY353" i="4" s="1"/>
  <c r="BQ604" i="4"/>
  <c r="BW604" i="4" s="1"/>
  <c r="BY604" i="4" s="1"/>
  <c r="BQ551" i="4"/>
  <c r="BW551" i="4" s="1"/>
  <c r="BY551" i="4" s="1"/>
  <c r="BQ287" i="4"/>
  <c r="BW287" i="4" s="1"/>
  <c r="BY287" i="4" s="1"/>
  <c r="BQ22" i="4"/>
  <c r="BW22" i="4" s="1"/>
  <c r="BY22" i="4" s="1"/>
  <c r="BQ404" i="4"/>
  <c r="BW404" i="4" s="1"/>
  <c r="BY404" i="4" s="1"/>
  <c r="BQ592" i="4"/>
  <c r="BW592" i="4" s="1"/>
  <c r="BY592" i="4" s="1"/>
  <c r="BQ407" i="4"/>
  <c r="BW407" i="4" s="1"/>
  <c r="BY407" i="4" s="1"/>
  <c r="BQ239" i="4"/>
  <c r="BW239" i="4" s="1"/>
  <c r="BY239" i="4" s="1"/>
  <c r="BQ99" i="4"/>
  <c r="BW99" i="4" s="1"/>
  <c r="BY99" i="4" s="1"/>
  <c r="BQ111" i="4"/>
  <c r="BW111" i="4" s="1"/>
  <c r="BY111" i="4" s="1"/>
  <c r="BQ17" i="4"/>
  <c r="BW17" i="4" s="1"/>
  <c r="BY17" i="4" s="1"/>
  <c r="BQ292" i="4"/>
  <c r="BW292" i="4" s="1"/>
  <c r="BY292" i="4" s="1"/>
  <c r="BQ149" i="4"/>
  <c r="BW149" i="4" s="1"/>
  <c r="BY149" i="4" s="1"/>
  <c r="BQ352" i="4"/>
  <c r="BW352" i="4" s="1"/>
  <c r="BY352" i="4" s="1"/>
  <c r="BQ128" i="4"/>
  <c r="BW128" i="4" s="1"/>
  <c r="BY128" i="4" s="1"/>
  <c r="BQ10" i="4"/>
  <c r="BW10" i="4" s="1"/>
  <c r="BY10" i="4" s="1"/>
  <c r="BQ440" i="4"/>
  <c r="BW440" i="4" s="1"/>
  <c r="BY440" i="4" s="1"/>
  <c r="BQ131" i="4"/>
  <c r="BW131" i="4" s="1"/>
  <c r="BY131" i="4" s="1"/>
  <c r="BQ595" i="4"/>
  <c r="BW595" i="4" s="1"/>
  <c r="BY595" i="4" s="1"/>
  <c r="BQ140" i="4"/>
  <c r="BW140" i="4" s="1"/>
  <c r="BY140" i="4" s="1"/>
  <c r="BQ38" i="4"/>
  <c r="BW38" i="4" s="1"/>
  <c r="BY38" i="4" s="1"/>
  <c r="BQ457" i="4"/>
  <c r="BW457" i="4" s="1"/>
  <c r="BY457" i="4" s="1"/>
  <c r="BQ61" i="4"/>
  <c r="BW61" i="4" s="1"/>
  <c r="BY61" i="4" s="1"/>
  <c r="BQ75" i="4"/>
  <c r="BW75" i="4" s="1"/>
  <c r="BY75" i="4" s="1"/>
  <c r="BQ439" i="4"/>
  <c r="BW439" i="4" s="1"/>
  <c r="BY439" i="4" s="1"/>
  <c r="BQ491" i="4"/>
  <c r="BW491" i="4" s="1"/>
  <c r="BY491" i="4" s="1"/>
  <c r="BQ373" i="4"/>
  <c r="BW373" i="4" s="1"/>
  <c r="BY373" i="4" s="1"/>
  <c r="BQ302" i="4"/>
  <c r="BW302" i="4" s="1"/>
  <c r="BY302" i="4" s="1"/>
  <c r="BQ586" i="4"/>
  <c r="BW586" i="4" s="1"/>
  <c r="BY586" i="4" s="1"/>
  <c r="BQ435" i="4"/>
  <c r="BW435" i="4" s="1"/>
  <c r="BY435" i="4" s="1"/>
  <c r="BQ318" i="4"/>
  <c r="BW318" i="4" s="1"/>
  <c r="BY318" i="4" s="1"/>
  <c r="BQ233" i="4"/>
  <c r="BW233" i="4" s="1"/>
  <c r="BY233" i="4" s="1"/>
  <c r="BQ382" i="4"/>
  <c r="BW382" i="4" s="1"/>
  <c r="BY382" i="4" s="1"/>
  <c r="BQ89" i="4"/>
  <c r="BW89" i="4" s="1"/>
  <c r="BY89" i="4" s="1"/>
  <c r="BQ565" i="4"/>
  <c r="BW565" i="4" s="1"/>
  <c r="BY565" i="4" s="1"/>
  <c r="BQ199" i="4"/>
  <c r="BW199" i="4" s="1"/>
  <c r="BY199" i="4" s="1"/>
  <c r="BQ5" i="4"/>
  <c r="BW5" i="4" s="1"/>
  <c r="BY5" i="4" s="1"/>
  <c r="BQ327" i="4"/>
  <c r="BW327" i="4" s="1"/>
  <c r="BY327" i="4" s="1"/>
  <c r="BQ537" i="4"/>
  <c r="BW537" i="4" s="1"/>
  <c r="BY537" i="4" s="1"/>
  <c r="BQ230" i="4"/>
  <c r="BW230" i="4" s="1"/>
  <c r="BY230" i="4" s="1"/>
  <c r="BQ320" i="4"/>
  <c r="BW320" i="4" s="1"/>
  <c r="BY320" i="4" s="1"/>
  <c r="BQ484" i="4"/>
  <c r="BW484" i="4" s="1"/>
  <c r="BY484" i="4" s="1"/>
  <c r="BQ201" i="4"/>
  <c r="BW201" i="4" s="1"/>
  <c r="BY201" i="4" s="1"/>
  <c r="BQ566" i="4"/>
  <c r="BW566" i="4" s="1"/>
  <c r="BY566" i="4" s="1"/>
  <c r="BQ6" i="4"/>
  <c r="BW6" i="4" s="1"/>
  <c r="BY6" i="4" s="1"/>
  <c r="BQ248" i="4"/>
  <c r="BW248" i="4" s="1"/>
  <c r="BY248" i="4" s="1"/>
  <c r="BQ34" i="4"/>
  <c r="BW34" i="4" s="1"/>
  <c r="BY34" i="4" s="1"/>
  <c r="BQ36" i="4"/>
  <c r="BW36" i="4" s="1"/>
  <c r="BY36" i="4" s="1"/>
  <c r="BQ345" i="4"/>
  <c r="BW345" i="4" s="1"/>
  <c r="BY345" i="4" s="1"/>
  <c r="BQ148" i="4"/>
  <c r="BW148" i="4" s="1"/>
  <c r="BY148" i="4" s="1"/>
  <c r="BQ253" i="4"/>
  <c r="BW253" i="4" s="1"/>
  <c r="BY253" i="4" s="1"/>
  <c r="BQ72" i="4"/>
  <c r="BW72" i="4" s="1"/>
  <c r="BY72" i="4" s="1"/>
  <c r="BQ419" i="4"/>
  <c r="BW419" i="4" s="1"/>
  <c r="BY419" i="4" s="1"/>
  <c r="BQ297" i="4"/>
  <c r="BW297" i="4" s="1"/>
  <c r="BY297" i="4" s="1"/>
  <c r="BQ517" i="4"/>
  <c r="BW517" i="4" s="1"/>
  <c r="BY517" i="4" s="1"/>
  <c r="BQ369" i="4"/>
  <c r="BW369" i="4" s="1"/>
  <c r="BY369" i="4" s="1"/>
  <c r="BQ434" i="4"/>
  <c r="BW434" i="4" s="1"/>
  <c r="BY434" i="4" s="1"/>
  <c r="BQ449" i="4"/>
  <c r="BW449" i="4" s="1"/>
  <c r="BY449" i="4" s="1"/>
  <c r="BQ316" i="4"/>
  <c r="BW316" i="4" s="1"/>
  <c r="BY316" i="4" s="1"/>
  <c r="BQ608" i="4"/>
  <c r="BW608" i="4" s="1"/>
  <c r="BY608" i="4" s="1"/>
  <c r="BQ125" i="4"/>
  <c r="BW125" i="4" s="1"/>
  <c r="BY125" i="4" s="1"/>
  <c r="BQ426" i="4"/>
  <c r="BW426" i="4" s="1"/>
  <c r="BY426" i="4" s="1"/>
  <c r="BQ337" i="4"/>
  <c r="BW337" i="4" s="1"/>
  <c r="BY337" i="4" s="1"/>
  <c r="BQ412" i="4"/>
  <c r="BW412" i="4" s="1"/>
  <c r="BY412" i="4" s="1"/>
  <c r="BQ414" i="4"/>
  <c r="BW414" i="4" s="1"/>
  <c r="BY414" i="4" s="1"/>
  <c r="BQ25" i="4"/>
  <c r="BW25" i="4" s="1"/>
  <c r="BY25" i="4" s="1"/>
  <c r="BQ408" i="4"/>
  <c r="BW408" i="4" s="1"/>
  <c r="BY408" i="4" s="1"/>
  <c r="BQ456" i="4"/>
  <c r="BW456" i="4" s="1"/>
  <c r="BY456" i="4" s="1"/>
  <c r="BQ226" i="4"/>
  <c r="BW226" i="4" s="1"/>
  <c r="BY226" i="4" s="1"/>
  <c r="BQ9" i="4"/>
  <c r="BW9" i="4" s="1"/>
  <c r="BY9" i="4" s="1"/>
  <c r="BQ388" i="4"/>
  <c r="BW388" i="4" s="1"/>
  <c r="BY388" i="4" s="1"/>
  <c r="BQ536" i="4"/>
  <c r="BW536" i="4" s="1"/>
  <c r="BY536" i="4" s="1"/>
  <c r="BQ41" i="4"/>
  <c r="BW41" i="4" s="1"/>
  <c r="BY41" i="4" s="1"/>
  <c r="BQ313" i="4"/>
  <c r="BW313" i="4" s="1"/>
  <c r="BY313" i="4" s="1"/>
  <c r="BQ378" i="4"/>
  <c r="BW378" i="4" s="1"/>
  <c r="BY378" i="4" s="1"/>
  <c r="BQ341" i="4"/>
  <c r="BW341" i="4" s="1"/>
  <c r="BY341" i="4" s="1"/>
  <c r="BQ214" i="4"/>
  <c r="BW214" i="4" s="1"/>
  <c r="BY214" i="4" s="1"/>
  <c r="BQ217" i="4"/>
  <c r="BW217" i="4" s="1"/>
  <c r="BY217" i="4" s="1"/>
  <c r="BQ64" i="4"/>
  <c r="BW64" i="4" s="1"/>
  <c r="BY64" i="4" s="1"/>
  <c r="BQ331" i="4"/>
  <c r="BW331" i="4" s="1"/>
  <c r="BY331" i="4" s="1"/>
  <c r="BQ425" i="4"/>
  <c r="BW425" i="4" s="1"/>
  <c r="BY425" i="4" s="1"/>
  <c r="BQ319" i="4"/>
  <c r="BW319" i="4" s="1"/>
  <c r="BY319" i="4" s="1"/>
  <c r="BQ472" i="4"/>
  <c r="BW472" i="4" s="1"/>
  <c r="BY472" i="4" s="1"/>
  <c r="BQ383" i="4"/>
  <c r="BW383" i="4" s="1"/>
  <c r="BY383" i="4" s="1"/>
  <c r="BQ134" i="4"/>
  <c r="BW134" i="4" s="1"/>
  <c r="BY134" i="4" s="1"/>
  <c r="BQ197" i="4"/>
  <c r="BW197" i="4" s="1"/>
  <c r="BY197" i="4" s="1"/>
  <c r="BQ437" i="4"/>
  <c r="BW437" i="4" s="1"/>
  <c r="BY437" i="4" s="1"/>
  <c r="BQ498" i="4"/>
  <c r="BW498" i="4" s="1"/>
  <c r="BY498" i="4" s="1"/>
  <c r="BQ57" i="4"/>
  <c r="BW57" i="4" s="1"/>
  <c r="BY57" i="4" s="1"/>
  <c r="BQ225" i="4"/>
  <c r="BW225" i="4" s="1"/>
  <c r="BY225" i="4" s="1"/>
  <c r="BQ513" i="4"/>
  <c r="BW513" i="4" s="1"/>
  <c r="BY513" i="4" s="1"/>
  <c r="BQ12" i="4"/>
  <c r="BW12" i="4" s="1"/>
  <c r="BY12" i="4" s="1"/>
  <c r="BQ289" i="4"/>
  <c r="BW289" i="4" s="1"/>
  <c r="BY289" i="4" s="1"/>
  <c r="BQ416" i="4"/>
  <c r="BW416" i="4" s="1"/>
  <c r="BY416" i="4" s="1"/>
  <c r="BQ326" i="4"/>
  <c r="BW326" i="4" s="1"/>
  <c r="BY326" i="4" s="1"/>
  <c r="BQ28" i="4"/>
  <c r="BW28" i="4" s="1"/>
  <c r="BY28" i="4" s="1"/>
  <c r="BQ541" i="4"/>
  <c r="BW541" i="4" s="1"/>
  <c r="BY541" i="4" s="1"/>
  <c r="BQ474" i="4"/>
  <c r="BW474" i="4" s="1"/>
  <c r="BY474" i="4" s="1"/>
  <c r="BQ582" i="4"/>
  <c r="BW582" i="4" s="1"/>
  <c r="BY582" i="4" s="1"/>
  <c r="BQ409" i="4"/>
  <c r="BW409" i="4" s="1"/>
  <c r="BY409" i="4" s="1"/>
  <c r="BQ43" i="4"/>
  <c r="BW43" i="4" s="1"/>
  <c r="BY43" i="4" s="1"/>
  <c r="BQ52" i="4"/>
  <c r="BW52" i="4" s="1"/>
  <c r="BY52" i="4" s="1"/>
  <c r="BQ63" i="4"/>
  <c r="BW63" i="4" s="1"/>
  <c r="BY63" i="4" s="1"/>
  <c r="BQ255" i="4"/>
  <c r="BW255" i="4" s="1"/>
  <c r="BY255" i="4" s="1"/>
  <c r="BQ222" i="4"/>
  <c r="BW222" i="4" s="1"/>
  <c r="BY222" i="4" s="1"/>
  <c r="BQ527" i="4"/>
  <c r="BW527" i="4" s="1"/>
  <c r="BY527" i="4" s="1"/>
  <c r="BQ446" i="4"/>
  <c r="BW446" i="4" s="1"/>
  <c r="BY446" i="4" s="1"/>
  <c r="BQ371" i="4"/>
  <c r="BW371" i="4" s="1"/>
  <c r="BY371" i="4" s="1"/>
  <c r="BQ511" i="4"/>
  <c r="BW511" i="4" s="1"/>
  <c r="BY511" i="4" s="1"/>
  <c r="BQ122" i="4"/>
  <c r="BW122" i="4" s="1"/>
  <c r="BY122" i="4" s="1"/>
  <c r="BQ587" i="4"/>
  <c r="BW587" i="4" s="1"/>
  <c r="BY587" i="4" s="1"/>
  <c r="BQ178" i="4"/>
  <c r="BW178" i="4" s="1"/>
  <c r="BY178" i="4" s="1"/>
  <c r="BQ136" i="4"/>
  <c r="BW136" i="4" s="1"/>
  <c r="BY136" i="4" s="1"/>
  <c r="BQ451" i="4"/>
  <c r="BW451" i="4" s="1"/>
  <c r="BY451" i="4" s="1"/>
  <c r="BQ363" i="4"/>
  <c r="BW363" i="4" s="1"/>
  <c r="BY363" i="4" s="1"/>
  <c r="BQ594" i="4"/>
  <c r="BW594" i="4" s="1"/>
  <c r="BY594" i="4" s="1"/>
  <c r="BQ521" i="4"/>
  <c r="BW521" i="4" s="1"/>
  <c r="BY521" i="4" s="1"/>
  <c r="BQ218" i="4"/>
  <c r="BW218" i="4" s="1"/>
  <c r="BY218" i="4" s="1"/>
  <c r="BQ219" i="4"/>
  <c r="BW219" i="4" s="1"/>
  <c r="BY219" i="4" s="1"/>
  <c r="BQ155" i="4"/>
  <c r="BW155" i="4" s="1"/>
  <c r="BY155" i="4" s="1"/>
  <c r="BQ117" i="4"/>
  <c r="BW117" i="4" s="1"/>
  <c r="BY117" i="4" s="1"/>
  <c r="BQ468" i="4"/>
  <c r="BW468" i="4" s="1"/>
  <c r="BY468" i="4" s="1"/>
  <c r="BQ605" i="4"/>
  <c r="BW605" i="4" s="1"/>
  <c r="BY605" i="4" s="1"/>
  <c r="BQ376" i="4"/>
  <c r="BW376" i="4" s="1"/>
  <c r="BY376" i="4" s="1"/>
  <c r="BQ507" i="4"/>
  <c r="BW507" i="4" s="1"/>
  <c r="BY507" i="4" s="1"/>
  <c r="BQ392" i="4"/>
  <c r="BW392" i="4" s="1"/>
  <c r="BY392" i="4" s="1"/>
  <c r="BQ181" i="4"/>
  <c r="BW181" i="4" s="1"/>
  <c r="BY181" i="4" s="1"/>
  <c r="BQ234" i="4"/>
  <c r="BW234" i="4" s="1"/>
  <c r="BY234" i="4" s="1"/>
  <c r="BQ86" i="4"/>
  <c r="BW86" i="4" s="1"/>
  <c r="BY86" i="4" s="1"/>
  <c r="BQ237" i="4"/>
  <c r="BW237" i="4" s="1"/>
  <c r="BY237" i="4" s="1"/>
  <c r="BQ324" i="4"/>
  <c r="BW324" i="4" s="1"/>
  <c r="BY324" i="4" s="1"/>
  <c r="BQ97" i="4"/>
  <c r="BW97" i="4" s="1"/>
  <c r="BY97" i="4" s="1"/>
  <c r="BQ578" i="4"/>
  <c r="BW578" i="4" s="1"/>
  <c r="BY578" i="4" s="1"/>
  <c r="BQ108" i="4"/>
  <c r="BW108" i="4" s="1"/>
  <c r="BY108" i="4" s="1"/>
  <c r="BQ300" i="4"/>
  <c r="BW300" i="4" s="1"/>
  <c r="BY300" i="4" s="1"/>
  <c r="BQ286" i="4"/>
  <c r="BW286" i="4" s="1"/>
  <c r="BY286" i="4" s="1"/>
  <c r="BQ126" i="4"/>
  <c r="BW126" i="4" s="1"/>
  <c r="BY126" i="4" s="1"/>
  <c r="BQ413" i="4"/>
  <c r="BW413" i="4" s="1"/>
  <c r="BY413" i="4" s="1"/>
  <c r="BQ194" i="4"/>
  <c r="BW194" i="4" s="1"/>
  <c r="BY194" i="4" s="1"/>
  <c r="BQ100" i="4"/>
  <c r="BW100" i="4" s="1"/>
  <c r="BY100" i="4" s="1"/>
  <c r="BQ268" i="4"/>
  <c r="BW268" i="4" s="1"/>
  <c r="BY268" i="4" s="1"/>
  <c r="BQ393" i="4"/>
  <c r="BW393" i="4" s="1"/>
  <c r="BY393" i="4" s="1"/>
  <c r="BQ431" i="4"/>
  <c r="BW431" i="4" s="1"/>
  <c r="BY431" i="4" s="1"/>
  <c r="BQ607" i="4"/>
  <c r="BW607" i="4" s="1"/>
  <c r="BY607" i="4" s="1"/>
  <c r="BQ213" i="4"/>
  <c r="BW213" i="4" s="1"/>
  <c r="BY213" i="4" s="1"/>
  <c r="BQ44" i="4"/>
  <c r="BW44" i="4" s="1"/>
  <c r="BY44" i="4" s="1"/>
  <c r="BQ53" i="4"/>
  <c r="BW53" i="4" s="1"/>
  <c r="BY53" i="4" s="1"/>
  <c r="BQ467" i="4"/>
  <c r="BW467" i="4" s="1"/>
  <c r="BY467" i="4" s="1"/>
  <c r="BQ395" i="4"/>
  <c r="BW395" i="4" s="1"/>
  <c r="BY395" i="4" s="1"/>
  <c r="BQ438" i="4"/>
  <c r="BW438" i="4" s="1"/>
  <c r="BY438" i="4" s="1"/>
  <c r="BQ524" i="4"/>
  <c r="BW524" i="4" s="1"/>
  <c r="BY524" i="4" s="1"/>
  <c r="BQ299" i="4"/>
  <c r="BW299" i="4" s="1"/>
  <c r="BY299" i="4" s="1"/>
  <c r="BQ372" i="4"/>
  <c r="BW372" i="4" s="1"/>
  <c r="BY372" i="4" s="1"/>
  <c r="BQ314" i="4"/>
  <c r="BW314" i="4" s="1"/>
  <c r="BY314" i="4" s="1"/>
  <c r="BQ502" i="4"/>
  <c r="BW502" i="4" s="1"/>
  <c r="BY502" i="4" s="1"/>
  <c r="BQ401" i="4"/>
  <c r="BW401" i="4" s="1"/>
  <c r="BY401" i="4" s="1"/>
  <c r="BQ333" i="4"/>
  <c r="BW333" i="4" s="1"/>
  <c r="BY333" i="4" s="1"/>
  <c r="BQ424" i="4"/>
  <c r="BW424" i="4" s="1"/>
  <c r="BY424" i="4" s="1"/>
  <c r="BQ335" i="4"/>
  <c r="BW335" i="4" s="1"/>
  <c r="BY335" i="4" s="1"/>
  <c r="BQ82" i="4"/>
  <c r="BW82" i="4" s="1"/>
  <c r="BY82" i="4" s="1"/>
  <c r="BQ577" i="4"/>
  <c r="BW577" i="4" s="1"/>
  <c r="BY577" i="4" s="1"/>
  <c r="BQ132" i="4"/>
  <c r="BW132" i="4" s="1"/>
  <c r="BY132" i="4" s="1"/>
  <c r="BQ428" i="4"/>
  <c r="BW428" i="4" s="1"/>
  <c r="BY428" i="4" s="1"/>
  <c r="BQ342" i="4"/>
  <c r="BW342" i="4" s="1"/>
  <c r="BY342" i="4" s="1"/>
  <c r="BQ241" i="4"/>
  <c r="BW241" i="4" s="1"/>
  <c r="BY241" i="4" s="1"/>
  <c r="CA659" i="4"/>
  <c r="BQ489" i="4"/>
  <c r="BW489" i="4" s="1"/>
  <c r="BY489" i="4" s="1"/>
  <c r="BQ272" i="4"/>
  <c r="BW272" i="4" s="1"/>
  <c r="BY272" i="4" s="1"/>
  <c r="BQ250" i="4"/>
  <c r="BW250" i="4" s="1"/>
  <c r="BY250" i="4" s="1"/>
  <c r="BQ103" i="4"/>
  <c r="BW103" i="4" s="1"/>
  <c r="BY103" i="4" s="1"/>
  <c r="BQ106" i="4"/>
  <c r="BW106" i="4" s="1"/>
  <c r="BY106" i="4" s="1"/>
  <c r="BQ399" i="4"/>
  <c r="BW399" i="4" s="1"/>
  <c r="BY399" i="4" s="1"/>
  <c r="BQ505" i="4"/>
  <c r="BW505" i="4" s="1"/>
  <c r="BY505" i="4" s="1"/>
  <c r="BQ433" i="4"/>
  <c r="BW433" i="4" s="1"/>
  <c r="BY433" i="4" s="1"/>
  <c r="BQ370" i="4"/>
  <c r="BW370" i="4" s="1"/>
  <c r="BY370" i="4" s="1"/>
  <c r="BQ301" i="4"/>
  <c r="BW301" i="4" s="1"/>
  <c r="BY301" i="4" s="1"/>
  <c r="BQ20" i="4"/>
  <c r="BW20" i="4" s="1"/>
  <c r="BY20" i="4" s="1"/>
  <c r="BQ591" i="4"/>
  <c r="BW591" i="4" s="1"/>
  <c r="BY591" i="4" s="1"/>
  <c r="BQ260" i="4"/>
  <c r="BW260" i="4" s="1"/>
  <c r="BY260" i="4" s="1"/>
  <c r="BQ127" i="4"/>
  <c r="BW127" i="4" s="1"/>
  <c r="BY127" i="4" s="1"/>
  <c r="BQ574" i="4"/>
  <c r="BW574" i="4" s="1"/>
  <c r="BY574" i="4" s="1"/>
  <c r="BQ235" i="4"/>
  <c r="BW235" i="4" s="1"/>
  <c r="BY235" i="4" s="1"/>
  <c r="BQ193" i="4"/>
  <c r="BW193" i="4" s="1"/>
  <c r="BY193" i="4" s="1"/>
  <c r="BQ93" i="4"/>
  <c r="BW93" i="4" s="1"/>
  <c r="BY93" i="4" s="1"/>
  <c r="BQ98" i="4"/>
  <c r="BW98" i="4" s="1"/>
  <c r="BY98" i="4" s="1"/>
  <c r="BQ418" i="4"/>
  <c r="BW418" i="4" s="1"/>
  <c r="BY418" i="4" s="1"/>
  <c r="BQ62" i="4"/>
  <c r="BW62" i="4" s="1"/>
  <c r="BY62" i="4" s="1"/>
  <c r="BQ447" i="4"/>
  <c r="BW447" i="4" s="1"/>
  <c r="BY447" i="4" s="1"/>
  <c r="BQ441" i="4"/>
  <c r="BW441" i="4" s="1"/>
  <c r="BY441" i="4" s="1"/>
  <c r="BQ336" i="4"/>
  <c r="BW336" i="4" s="1"/>
  <c r="BY336" i="4" s="1"/>
  <c r="BQ532" i="4"/>
  <c r="BW532" i="4" s="1"/>
  <c r="BY532" i="4" s="1"/>
  <c r="BQ360" i="4"/>
  <c r="BW360" i="4" s="1"/>
  <c r="BY360" i="4" s="1"/>
  <c r="BQ597" i="4"/>
  <c r="BW597" i="4" s="1"/>
  <c r="BY597" i="4" s="1"/>
  <c r="BQ269" i="4"/>
  <c r="BW269" i="4" s="1"/>
  <c r="BY269" i="4" s="1"/>
  <c r="BQ202" i="4"/>
  <c r="BW202" i="4" s="1"/>
  <c r="BY202" i="4" s="1"/>
  <c r="BQ205" i="4"/>
  <c r="BW205" i="4" s="1"/>
  <c r="BY205" i="4" s="1"/>
  <c r="BQ432" i="4"/>
  <c r="BW432" i="4" s="1"/>
  <c r="BY432" i="4" s="1"/>
  <c r="BQ504" i="4"/>
  <c r="BW504" i="4" s="1"/>
  <c r="BY504" i="4" s="1"/>
  <c r="BQ295" i="4"/>
  <c r="BW295" i="4" s="1"/>
  <c r="BY295" i="4" s="1"/>
  <c r="BQ55" i="4"/>
  <c r="BW55" i="4" s="1"/>
  <c r="BY55" i="4" s="1"/>
  <c r="BQ65" i="4"/>
  <c r="BW65" i="4" s="1"/>
  <c r="BY65" i="4" s="1"/>
  <c r="BQ112" i="4"/>
  <c r="BW112" i="4" s="1"/>
  <c r="BY112" i="4" s="1"/>
  <c r="BQ157" i="4"/>
  <c r="BW157" i="4" s="1"/>
  <c r="BY157" i="4" s="1"/>
  <c r="BQ481" i="4"/>
  <c r="BW481" i="4" s="1"/>
  <c r="BY481" i="4" s="1"/>
  <c r="BQ368" i="4"/>
  <c r="BW368" i="4" s="1"/>
  <c r="BY368" i="4" s="1"/>
  <c r="BQ531" i="4"/>
  <c r="BW531" i="4" s="1"/>
  <c r="BY531" i="4" s="1"/>
  <c r="BQ561" i="4"/>
  <c r="BW561" i="4" s="1"/>
  <c r="BY561" i="4" s="1"/>
  <c r="BQ15" i="4"/>
  <c r="BW15" i="4" s="1"/>
  <c r="BY15" i="4" s="1"/>
  <c r="BQ332" i="4"/>
  <c r="BW332" i="4" s="1"/>
  <c r="BY332" i="4" s="1"/>
  <c r="BQ548" i="4"/>
  <c r="BW548" i="4" s="1"/>
  <c r="BY548" i="4" s="1"/>
  <c r="BQ229" i="4"/>
  <c r="BW229" i="4" s="1"/>
  <c r="BY229" i="4" s="1"/>
  <c r="BQ403" i="4"/>
  <c r="BW403" i="4" s="1"/>
  <c r="BY403" i="4" s="1"/>
  <c r="BQ262" i="4"/>
  <c r="BW262" i="4" s="1"/>
  <c r="BY262" i="4" s="1"/>
  <c r="BQ307" i="4"/>
  <c r="BW307" i="4" s="1"/>
  <c r="BY307" i="4" s="1"/>
  <c r="BQ187" i="4"/>
  <c r="BW187" i="4" s="1"/>
  <c r="BY187" i="4" s="1"/>
  <c r="BQ415" i="4"/>
  <c r="BW415" i="4" s="1"/>
  <c r="BY415" i="4" s="1"/>
  <c r="BQ455" i="4"/>
  <c r="BW455" i="4" s="1"/>
  <c r="BY455" i="4" s="1"/>
  <c r="BQ497" i="4"/>
  <c r="BW497" i="4" s="1"/>
  <c r="BY497" i="4" s="1"/>
  <c r="CA629" i="4"/>
  <c r="BQ138" i="4"/>
  <c r="BW138" i="4" s="1"/>
  <c r="BY138" i="4" s="1"/>
  <c r="BQ364" i="4"/>
  <c r="BW364" i="4" s="1"/>
  <c r="BY364" i="4" s="1"/>
  <c r="BQ294" i="4"/>
  <c r="BW294" i="4" s="1"/>
  <c r="BY294" i="4" s="1"/>
  <c r="BQ147" i="4"/>
  <c r="BW147" i="4" s="1"/>
  <c r="BY147" i="4" s="1"/>
  <c r="BQ152" i="4"/>
  <c r="BW152" i="4" s="1"/>
  <c r="BY152" i="4" s="1"/>
  <c r="BQ115" i="4"/>
  <c r="BW115" i="4" s="1"/>
  <c r="BY115" i="4" s="1"/>
  <c r="BQ167" i="4"/>
  <c r="BW167" i="4" s="1"/>
  <c r="BY167" i="4" s="1"/>
  <c r="BQ458" i="4"/>
  <c r="BW458" i="4" s="1"/>
  <c r="BY458" i="4" s="1"/>
  <c r="BQ351" i="4"/>
  <c r="BW351" i="4" s="1"/>
  <c r="BY351" i="4" s="1"/>
  <c r="BQ174" i="4"/>
  <c r="BW174" i="4" s="1"/>
  <c r="BY174" i="4" s="1"/>
  <c r="BQ354" i="4"/>
  <c r="BW354" i="4" s="1"/>
  <c r="BY354" i="4" s="1"/>
  <c r="BQ355" i="4"/>
  <c r="BW355" i="4" s="1"/>
  <c r="BY355" i="4" s="1"/>
  <c r="BQ559" i="4"/>
  <c r="BW559" i="4" s="1"/>
  <c r="BY559" i="4" s="1"/>
  <c r="BQ538" i="4"/>
  <c r="BW538" i="4" s="1"/>
  <c r="BY538" i="4" s="1"/>
  <c r="BQ87" i="4"/>
  <c r="BW87" i="4" s="1"/>
  <c r="BY87" i="4" s="1"/>
  <c r="BQ308" i="4"/>
  <c r="BW308" i="4" s="1"/>
  <c r="BY308" i="4" s="1"/>
  <c r="BQ94" i="4"/>
  <c r="BW94" i="4" s="1"/>
  <c r="BY94" i="4" s="1"/>
  <c r="BQ569" i="4"/>
  <c r="BW569" i="4" s="1"/>
  <c r="BY569" i="4" s="1"/>
  <c r="BQ603" i="4"/>
  <c r="BW603" i="4" s="1"/>
  <c r="BY603" i="4" s="1"/>
  <c r="BQ394" i="4"/>
  <c r="BW394" i="4" s="1"/>
  <c r="BY394" i="4" s="1"/>
  <c r="BQ410" i="4"/>
  <c r="BW410" i="4" s="1"/>
  <c r="BY410" i="4" s="1"/>
  <c r="BQ487" i="4"/>
  <c r="BW487" i="4" s="1"/>
  <c r="BY487" i="4" s="1"/>
  <c r="BQ81" i="4"/>
  <c r="BW81" i="4" s="1"/>
  <c r="BY81" i="4" s="1"/>
  <c r="BQ23" i="4"/>
  <c r="BW23" i="4" s="1"/>
  <c r="BY23" i="4" s="1"/>
  <c r="BQ91" i="4"/>
  <c r="BW91" i="4" s="1"/>
  <c r="BY91" i="4" s="1"/>
  <c r="BQ602" i="4"/>
  <c r="BW602" i="4" s="1"/>
  <c r="BY602" i="4" s="1"/>
  <c r="BQ461" i="4"/>
  <c r="BW461" i="4" s="1"/>
  <c r="BY461" i="4" s="1"/>
  <c r="BQ244" i="4"/>
  <c r="BW244" i="4" s="1"/>
  <c r="BY244" i="4" s="1"/>
  <c r="BQ310" i="4"/>
  <c r="BW310" i="4" s="1"/>
  <c r="BY310" i="4" s="1"/>
  <c r="BQ579" i="4"/>
  <c r="BW579" i="4" s="1"/>
  <c r="BY579" i="4" s="1"/>
  <c r="BQ143" i="4"/>
  <c r="BW143" i="4" s="1"/>
  <c r="BY143" i="4" s="1"/>
  <c r="BQ522" i="4"/>
  <c r="BW522" i="4" s="1"/>
  <c r="BY522" i="4" s="1"/>
  <c r="BQ150" i="4"/>
  <c r="BW150" i="4" s="1"/>
  <c r="BY150" i="4" s="1"/>
  <c r="BQ151" i="4"/>
  <c r="BW151" i="4" s="1"/>
  <c r="BY151" i="4" s="1"/>
  <c r="BQ76" i="4"/>
  <c r="BW76" i="4" s="1"/>
  <c r="BY76" i="4" s="1"/>
  <c r="BQ257" i="4"/>
  <c r="BW257" i="4" s="1"/>
  <c r="BY257" i="4" s="1"/>
  <c r="BQ280" i="4"/>
  <c r="BW280" i="4" s="1"/>
  <c r="BY280" i="4" s="1"/>
  <c r="BQ311" i="4"/>
  <c r="BW311" i="4" s="1"/>
  <c r="BY311" i="4" s="1"/>
  <c r="BQ328" i="4"/>
  <c r="BW328" i="4" s="1"/>
  <c r="BY328" i="4" s="1"/>
  <c r="BQ170" i="4"/>
  <c r="BW170" i="4" s="1"/>
  <c r="BY170" i="4" s="1"/>
  <c r="BQ284" i="4"/>
  <c r="BW284" i="4" s="1"/>
  <c r="BY284" i="4" s="1"/>
  <c r="BQ516" i="4"/>
  <c r="BW516" i="4" s="1"/>
  <c r="BY516" i="4" s="1"/>
  <c r="BQ228" i="4"/>
  <c r="BW228" i="4" s="1"/>
  <c r="BY228" i="4" s="1"/>
  <c r="BQ305" i="4"/>
  <c r="BW305" i="4" s="1"/>
  <c r="BY305" i="4" s="1"/>
  <c r="BQ179" i="4"/>
  <c r="BW179" i="4" s="1"/>
  <c r="BY179" i="4" s="1"/>
  <c r="BQ471" i="4"/>
  <c r="BW471" i="4" s="1"/>
  <c r="BY471" i="4" s="1"/>
  <c r="BQ405" i="4"/>
  <c r="BW405" i="4" s="1"/>
  <c r="BY405" i="4" s="1"/>
  <c r="BQ188" i="4"/>
  <c r="BW188" i="4" s="1"/>
  <c r="BY188" i="4" s="1"/>
  <c r="BQ266" i="4"/>
  <c r="BW266" i="4" s="1"/>
  <c r="BY266" i="4" s="1"/>
  <c r="BQ387" i="4"/>
  <c r="BW387" i="4" s="1"/>
  <c r="BY387" i="4" s="1"/>
  <c r="BQ101" i="4"/>
  <c r="BW101" i="4" s="1"/>
  <c r="BY101" i="4" s="1"/>
  <c r="CA619" i="4"/>
  <c r="CB619" i="4" s="1"/>
  <c r="BQ540" i="4"/>
  <c r="BW540" i="4" s="1"/>
  <c r="BY540" i="4" s="1"/>
  <c r="BQ550" i="4"/>
  <c r="BW550" i="4" s="1"/>
  <c r="BY550" i="4" s="1"/>
  <c r="BQ568" i="4"/>
  <c r="BW568" i="4" s="1"/>
  <c r="BY568" i="4" s="1"/>
  <c r="BQ259" i="4"/>
  <c r="BW259" i="4" s="1"/>
  <c r="BY259" i="4" s="1"/>
  <c r="BQ533" i="4"/>
  <c r="BW533" i="4" s="1"/>
  <c r="BY533" i="4" s="1"/>
  <c r="BQ169" i="4"/>
  <c r="BW169" i="4" s="1"/>
  <c r="BY169" i="4" s="1"/>
  <c r="BQ207" i="4"/>
  <c r="BW207" i="4" s="1"/>
  <c r="BY207" i="4" s="1"/>
  <c r="BQ490" i="4"/>
  <c r="BW490" i="4" s="1"/>
  <c r="BY490" i="4" s="1"/>
  <c r="BQ31" i="4"/>
  <c r="BW31" i="4" s="1"/>
  <c r="BY31" i="4" s="1"/>
  <c r="BQ365" i="4"/>
  <c r="BW365" i="4" s="1"/>
  <c r="BY365" i="4" s="1"/>
  <c r="BQ145" i="4"/>
  <c r="BW145" i="4" s="1"/>
  <c r="BY145" i="4" s="1"/>
  <c r="BQ107" i="4"/>
  <c r="BW107" i="4" s="1"/>
  <c r="BY107" i="4" s="1"/>
  <c r="BQ153" i="4"/>
  <c r="BW153" i="4" s="1"/>
  <c r="BY153" i="4" s="1"/>
  <c r="BQ156" i="4"/>
  <c r="BW156" i="4" s="1"/>
  <c r="BY156" i="4" s="1"/>
  <c r="BQ557" i="4"/>
  <c r="BW557" i="4" s="1"/>
  <c r="BY557" i="4" s="1"/>
  <c r="BQ120" i="4"/>
  <c r="BW120" i="4" s="1"/>
  <c r="BY120" i="4" s="1"/>
  <c r="BQ459" i="4"/>
  <c r="BW459" i="4" s="1"/>
  <c r="BY459" i="4" s="1"/>
  <c r="BQ423" i="4"/>
  <c r="BW423" i="4" s="1"/>
  <c r="BY423" i="4" s="1"/>
  <c r="BQ571" i="4"/>
  <c r="BW571" i="4" s="1"/>
  <c r="BY571" i="4" s="1"/>
  <c r="BQ509" i="4"/>
  <c r="BW509" i="4" s="1"/>
  <c r="BY509" i="4" s="1"/>
  <c r="BQ182" i="4"/>
  <c r="BW182" i="4" s="1"/>
  <c r="BY182" i="4" s="1"/>
  <c r="BQ288" i="4"/>
  <c r="BW288" i="4" s="1"/>
  <c r="BY288" i="4" s="1"/>
  <c r="BQ88" i="4"/>
  <c r="BW88" i="4" s="1"/>
  <c r="BY88" i="4" s="1"/>
  <c r="BQ560" i="4"/>
  <c r="BW560" i="4" s="1"/>
  <c r="BY560" i="4" s="1"/>
  <c r="BQ520" i="4"/>
  <c r="BW520" i="4" s="1"/>
  <c r="BY520" i="4" s="1"/>
  <c r="BQ417" i="4"/>
  <c r="BW417" i="4" s="1"/>
  <c r="BY417" i="4" s="1"/>
  <c r="BQ581" i="4"/>
  <c r="BW581" i="4" s="1"/>
  <c r="BY581" i="4" s="1"/>
  <c r="BQ220" i="4"/>
  <c r="BW220" i="4" s="1"/>
  <c r="BY220" i="4" s="1"/>
  <c r="BQ349" i="4"/>
  <c r="BW349" i="4" s="1"/>
  <c r="BY349" i="4" s="1"/>
  <c r="BQ391" i="4"/>
  <c r="BW391" i="4" s="1"/>
  <c r="BY391" i="4" s="1"/>
  <c r="BQ231" i="4"/>
  <c r="BW231" i="4" s="1"/>
  <c r="BY231" i="4" s="1"/>
  <c r="BQ24" i="4"/>
  <c r="BW24" i="4" s="1"/>
  <c r="BY24" i="4" s="1"/>
  <c r="BQ92" i="4"/>
  <c r="BW92" i="4" s="1"/>
  <c r="BY92" i="4" s="1"/>
  <c r="BQ499" i="4"/>
  <c r="BW499" i="4" s="1"/>
  <c r="BY499" i="4" s="1"/>
  <c r="BQ462" i="4"/>
  <c r="BW462" i="4" s="1"/>
  <c r="BY462" i="4" s="1"/>
  <c r="BQ203" i="4"/>
  <c r="BW203" i="4" s="1"/>
  <c r="BY203" i="4" s="1"/>
  <c r="BQ275" i="4"/>
  <c r="BW275" i="4" s="1"/>
  <c r="BY275" i="4" s="1"/>
  <c r="BQ344" i="4"/>
  <c r="BW344" i="4" s="1"/>
  <c r="BY344" i="4" s="1"/>
  <c r="BQ575" i="4"/>
  <c r="BW575" i="4" s="1"/>
  <c r="BY575" i="4" s="1"/>
  <c r="BQ47" i="4"/>
  <c r="BW47" i="4" s="1"/>
  <c r="BY47" i="4" s="1"/>
  <c r="BQ58" i="4"/>
  <c r="BW58" i="4" s="1"/>
  <c r="BY58" i="4" s="1"/>
  <c r="BQ66" i="4"/>
  <c r="BW66" i="4" s="1"/>
  <c r="BY66" i="4" s="1"/>
  <c r="BQ256" i="4"/>
  <c r="BW256" i="4" s="1"/>
  <c r="BY256" i="4" s="1"/>
  <c r="BQ116" i="4"/>
  <c r="BW116" i="4" s="1"/>
  <c r="BY116" i="4" s="1"/>
  <c r="BQ224" i="4"/>
  <c r="BW224" i="4" s="1"/>
  <c r="BY224" i="4" s="1"/>
  <c r="BQ312" i="4"/>
  <c r="BW312" i="4" s="1"/>
  <c r="BY312" i="4" s="1"/>
  <c r="BQ347" i="4"/>
  <c r="BW347" i="4" s="1"/>
  <c r="BY347" i="4" s="1"/>
  <c r="BQ374" i="4"/>
  <c r="BW374" i="4" s="1"/>
  <c r="BY374" i="4" s="1"/>
  <c r="BQ478" i="4"/>
  <c r="BW478" i="4" s="1"/>
  <c r="BY478" i="4" s="1"/>
  <c r="BQ422" i="4"/>
  <c r="BW422" i="4" s="1"/>
  <c r="BY422" i="4" s="1"/>
  <c r="BQ304" i="4"/>
  <c r="BW304" i="4" s="1"/>
  <c r="BY304" i="4" s="1"/>
  <c r="BQ590" i="4"/>
  <c r="BW590" i="4" s="1"/>
  <c r="BY590" i="4" s="1"/>
  <c r="BQ356" i="4"/>
  <c r="BW356" i="4" s="1"/>
  <c r="BY356" i="4" s="1"/>
  <c r="BQ477" i="4"/>
  <c r="BW477" i="4" s="1"/>
  <c r="BY477" i="4" s="1"/>
  <c r="BQ494" i="4"/>
  <c r="BW494" i="4" s="1"/>
  <c r="BY494" i="4" s="1"/>
  <c r="BQ236" i="4"/>
  <c r="BW236" i="4" s="1"/>
  <c r="BY236" i="4" s="1"/>
  <c r="BQ90" i="4"/>
  <c r="BW90" i="4" s="1"/>
  <c r="BY90" i="4" s="1"/>
  <c r="BQ96" i="4"/>
  <c r="BW96" i="4" s="1"/>
  <c r="BY96" i="4" s="1"/>
  <c r="CA675" i="4"/>
  <c r="CB675" i="4" s="1"/>
  <c r="CA653" i="4"/>
  <c r="CB653" i="4" s="1"/>
  <c r="BQ519" i="4"/>
  <c r="BW519" i="4" s="1"/>
  <c r="BY519" i="4" s="1"/>
  <c r="BQ492" i="4"/>
  <c r="BW492" i="4" s="1"/>
  <c r="BY492" i="4" s="1"/>
  <c r="BQ453" i="4"/>
  <c r="BW453" i="4" s="1"/>
  <c r="BY453" i="4" s="1"/>
  <c r="BQ547" i="4"/>
  <c r="BW547" i="4" s="1"/>
  <c r="BY547" i="4" s="1"/>
  <c r="BQ175" i="4"/>
  <c r="BW175" i="4" s="1"/>
  <c r="BY175" i="4" s="1"/>
  <c r="BQ584" i="4"/>
  <c r="BW584" i="4" s="1"/>
  <c r="BY584" i="4" s="1"/>
  <c r="BQ80" i="4"/>
  <c r="BW80" i="4" s="1"/>
  <c r="BY80" i="4" s="1"/>
  <c r="BQ27" i="4"/>
  <c r="BW27" i="4" s="1"/>
  <c r="BY27" i="4" s="1"/>
  <c r="BQ293" i="4"/>
  <c r="BW293" i="4" s="1"/>
  <c r="BY293" i="4" s="1"/>
  <c r="BQ583" i="4"/>
  <c r="BW583" i="4" s="1"/>
  <c r="BY583" i="4" s="1"/>
  <c r="BQ40" i="4"/>
  <c r="BW40" i="4" s="1"/>
  <c r="BY40" i="4" s="1"/>
  <c r="BQ54" i="4"/>
  <c r="BW54" i="4" s="1"/>
  <c r="BY54" i="4" s="1"/>
  <c r="BQ279" i="4"/>
  <c r="BW279" i="4" s="1"/>
  <c r="BY279" i="4" s="1"/>
  <c r="BQ367" i="4"/>
  <c r="BW367" i="4" s="1"/>
  <c r="BY367" i="4" s="1"/>
  <c r="BQ585" i="4"/>
  <c r="BW585" i="4" s="1"/>
  <c r="BY585" i="4" s="1"/>
  <c r="BQ525" i="4"/>
  <c r="BW525" i="4" s="1"/>
  <c r="BY525" i="4" s="1"/>
  <c r="BQ475" i="4"/>
  <c r="BW475" i="4" s="1"/>
  <c r="BY475" i="4" s="1"/>
  <c r="BQ552" i="4"/>
  <c r="BW552" i="4" s="1"/>
  <c r="BY552" i="4" s="1"/>
  <c r="BQ528" i="4"/>
  <c r="BW528" i="4" s="1"/>
  <c r="BY528" i="4" s="1"/>
  <c r="BQ402" i="4"/>
  <c r="BW402" i="4" s="1"/>
  <c r="BY402" i="4" s="1"/>
  <c r="BQ83" i="4"/>
  <c r="BW83" i="4" s="1"/>
  <c r="BY83" i="4" s="1"/>
  <c r="BQ185" i="4"/>
  <c r="BW185" i="4" s="1"/>
  <c r="BY185" i="4" s="1"/>
  <c r="BQ384" i="4"/>
  <c r="BW384" i="4" s="1"/>
  <c r="BY384" i="4" s="1"/>
  <c r="BQ195" i="4"/>
  <c r="BW195" i="4" s="1"/>
  <c r="BY195" i="4" s="1"/>
  <c r="BQ291" i="4"/>
  <c r="BW291" i="4" s="1"/>
  <c r="BY291" i="4" s="1"/>
  <c r="BQ271" i="4"/>
  <c r="BW271" i="4" s="1"/>
  <c r="BY271" i="4" s="1"/>
  <c r="BQ254" i="4"/>
  <c r="BW254" i="4" s="1"/>
  <c r="BY254" i="4" s="1"/>
  <c r="BQ469" i="4"/>
  <c r="BW469" i="4" s="1"/>
  <c r="BY469" i="4" s="1"/>
  <c r="BQ379" i="4"/>
  <c r="BW379" i="4" s="1"/>
  <c r="BY379" i="4" s="1"/>
  <c r="BQ427" i="4"/>
  <c r="BW427" i="4" s="1"/>
  <c r="BY427" i="4" s="1"/>
  <c r="BQ322" i="4"/>
  <c r="BW322" i="4" s="1"/>
  <c r="BY322" i="4" s="1"/>
  <c r="BQ290" i="4"/>
  <c r="BW290" i="4" s="1"/>
  <c r="BY290" i="4" s="1"/>
  <c r="BQ11" i="4"/>
  <c r="BW11" i="4" s="1"/>
  <c r="BY11" i="4" s="1"/>
  <c r="BQ243" i="4"/>
  <c r="BW243" i="4" s="1"/>
  <c r="BY243" i="4" s="1"/>
  <c r="BQ542" i="4"/>
  <c r="BW542" i="4" s="1"/>
  <c r="BY542" i="4" s="1"/>
  <c r="BQ33" i="4"/>
  <c r="BW33" i="4" s="1"/>
  <c r="BY33" i="4" s="1"/>
  <c r="BQ599" i="4"/>
  <c r="BW599" i="4" s="1"/>
  <c r="BY599" i="4" s="1"/>
  <c r="BQ215" i="4"/>
  <c r="BW215" i="4" s="1"/>
  <c r="BY215" i="4" s="1"/>
  <c r="BQ49" i="4"/>
  <c r="BW49" i="4" s="1"/>
  <c r="BY49" i="4" s="1"/>
  <c r="BQ251" i="4"/>
  <c r="BW251" i="4" s="1"/>
  <c r="BY251" i="4" s="1"/>
  <c r="BQ480" i="4"/>
  <c r="BW480" i="4" s="1"/>
  <c r="BY480" i="4" s="1"/>
  <c r="BQ113" i="4"/>
  <c r="BW113" i="4" s="1"/>
  <c r="BY113" i="4" s="1"/>
  <c r="BQ523" i="4"/>
  <c r="BW523" i="4" s="1"/>
  <c r="BY523" i="4" s="1"/>
  <c r="BQ281" i="4"/>
  <c r="BW281" i="4" s="1"/>
  <c r="BY281" i="4" s="1"/>
  <c r="BQ464" i="4"/>
  <c r="BW464" i="4" s="1"/>
  <c r="BY464" i="4" s="1"/>
  <c r="BQ329" i="4"/>
  <c r="BW329" i="4" s="1"/>
  <c r="BY329" i="4" s="1"/>
  <c r="BQ482" i="4"/>
  <c r="BW482" i="4" s="1"/>
  <c r="BY482" i="4" s="1"/>
  <c r="BQ375" i="4"/>
  <c r="BW375" i="4" s="1"/>
  <c r="BY375" i="4" s="1"/>
  <c r="BQ512" i="4"/>
  <c r="BW512" i="4" s="1"/>
  <c r="BY512" i="4" s="1"/>
  <c r="BQ390" i="4"/>
  <c r="BW390" i="4" s="1"/>
  <c r="BY390" i="4" s="1"/>
  <c r="BQ580" i="4"/>
  <c r="BW580" i="4" s="1"/>
  <c r="BY580" i="4" s="1"/>
  <c r="BQ593" i="4"/>
  <c r="BW593" i="4" s="1"/>
  <c r="BY593" i="4" s="1"/>
  <c r="BQ263" i="4"/>
  <c r="BW263" i="4" s="1"/>
  <c r="BY263" i="4" s="1"/>
  <c r="BQ514" i="4"/>
  <c r="BW514" i="4" s="1"/>
  <c r="BY514" i="4" s="1"/>
  <c r="BQ190" i="4"/>
  <c r="BW190" i="4" s="1"/>
  <c r="BY190" i="4" s="1"/>
  <c r="BQ465" i="4"/>
  <c r="BW465" i="4" s="1"/>
  <c r="BY465" i="4" s="1"/>
  <c r="BQ466" i="4"/>
  <c r="BW466" i="4" s="1"/>
  <c r="BY466" i="4" s="1"/>
  <c r="CA665" i="4"/>
  <c r="CA643" i="4"/>
  <c r="CB643" i="4" s="1"/>
  <c r="BQ276" i="4"/>
  <c r="BW276" i="4" s="1"/>
  <c r="BY276" i="4" s="1"/>
  <c r="BQ315" i="4"/>
  <c r="BW315" i="4" s="1"/>
  <c r="BY315" i="4" s="1"/>
  <c r="BQ200" i="4"/>
  <c r="BW200" i="4" s="1"/>
  <c r="BY200" i="4" s="1"/>
  <c r="BQ168" i="4"/>
  <c r="BW168" i="4" s="1"/>
  <c r="BY168" i="4" s="1"/>
  <c r="BQ139" i="4"/>
  <c r="BW139" i="4" s="1"/>
  <c r="BY139" i="4" s="1"/>
  <c r="BQ400" i="4"/>
  <c r="BW400" i="4" s="1"/>
  <c r="BY400" i="4" s="1"/>
  <c r="BQ485" i="4"/>
  <c r="BW485" i="4" s="1"/>
  <c r="BY485" i="4" s="1"/>
  <c r="BQ359" i="4"/>
  <c r="BW359" i="4" s="1"/>
  <c r="BY359" i="4" s="1"/>
  <c r="BQ361" i="4"/>
  <c r="BW361" i="4" s="1"/>
  <c r="BY361" i="4" s="1"/>
  <c r="BQ530" i="4"/>
  <c r="BW530" i="4" s="1"/>
  <c r="BY530" i="4" s="1"/>
  <c r="BQ386" i="4"/>
  <c r="BW386" i="4" s="1"/>
  <c r="BY386" i="4" s="1"/>
  <c r="BQ29" i="4"/>
  <c r="BW29" i="4" s="1"/>
  <c r="BY29" i="4" s="1"/>
  <c r="BQ246" i="4"/>
  <c r="BW246" i="4" s="1"/>
  <c r="BY246" i="4" s="1"/>
  <c r="BQ208" i="4"/>
  <c r="BW208" i="4" s="1"/>
  <c r="BY208" i="4" s="1"/>
  <c r="BQ42" i="4"/>
  <c r="BW42" i="4" s="1"/>
  <c r="BY42" i="4" s="1"/>
  <c r="BQ56" i="4"/>
  <c r="BW56" i="4" s="1"/>
  <c r="BY56" i="4" s="1"/>
  <c r="BQ68" i="4"/>
  <c r="BW68" i="4" s="1"/>
  <c r="BY68" i="4" s="1"/>
  <c r="BQ7" i="4"/>
  <c r="BW7" i="4" s="1"/>
  <c r="BY7" i="4" s="1"/>
  <c r="BQ346" i="4"/>
  <c r="BW346" i="4" s="1"/>
  <c r="BY346" i="4" s="1"/>
  <c r="BQ588" i="4"/>
  <c r="BW588" i="4" s="1"/>
  <c r="BY588" i="4" s="1"/>
  <c r="BQ450" i="4"/>
  <c r="BW450" i="4" s="1"/>
  <c r="BY450" i="4" s="1"/>
  <c r="BQ124" i="4"/>
  <c r="BW124" i="4" s="1"/>
  <c r="BY124" i="4" s="1"/>
  <c r="BQ21" i="4"/>
  <c r="BW21" i="4" s="1"/>
  <c r="BY21" i="4" s="1"/>
  <c r="BQ442" i="4"/>
  <c r="BW442" i="4" s="1"/>
  <c r="BY442" i="4" s="1"/>
  <c r="BQ358" i="4"/>
  <c r="BW358" i="4" s="1"/>
  <c r="BY358" i="4" s="1"/>
  <c r="BQ130" i="4"/>
  <c r="BW130" i="4" s="1"/>
  <c r="BY130" i="4" s="1"/>
  <c r="BQ479" i="4"/>
  <c r="BW479" i="4" s="1"/>
  <c r="BY479" i="4" s="1"/>
  <c r="BQ323" i="4"/>
  <c r="BW323" i="4" s="1"/>
  <c r="BY323" i="4" s="1"/>
  <c r="BQ198" i="4"/>
  <c r="BW198" i="4" s="1"/>
  <c r="BY198" i="4" s="1"/>
  <c r="BQ543" i="4"/>
  <c r="BW543" i="4" s="1"/>
  <c r="BY543" i="4" s="1"/>
  <c r="BQ606" i="4"/>
  <c r="BW606" i="4" s="1"/>
  <c r="BY606" i="4" s="1"/>
  <c r="BQ172" i="4"/>
  <c r="BW172" i="4" s="1"/>
  <c r="BY172" i="4" s="1"/>
  <c r="BQ177" i="4"/>
  <c r="BW177" i="4" s="1"/>
  <c r="BY177" i="4" s="1"/>
  <c r="BQ13" i="4"/>
  <c r="BW13" i="4" s="1"/>
  <c r="BY13" i="4" s="1"/>
  <c r="BQ495" i="4"/>
  <c r="BW495" i="4" s="1"/>
  <c r="BY495" i="4" s="1"/>
  <c r="BQ563" i="4"/>
  <c r="BW563" i="4" s="1"/>
  <c r="BY563" i="4" s="1"/>
  <c r="BQ240" i="4"/>
  <c r="BW240" i="4" s="1"/>
  <c r="BY240" i="4" s="1"/>
  <c r="BQ389" i="4"/>
  <c r="BW389" i="4" s="1"/>
  <c r="BY389" i="4" s="1"/>
  <c r="BQ549" i="4"/>
  <c r="BW549" i="4" s="1"/>
  <c r="BY549" i="4" s="1"/>
  <c r="BQ206" i="4"/>
  <c r="BW206" i="4" s="1"/>
  <c r="BY206" i="4" s="1"/>
  <c r="BQ35" i="4"/>
  <c r="BW35" i="4" s="1"/>
  <c r="BY35" i="4" s="1"/>
  <c r="BQ144" i="4"/>
  <c r="BW144" i="4" s="1"/>
  <c r="BY144" i="4" s="1"/>
  <c r="BQ600" i="4"/>
  <c r="BW600" i="4" s="1"/>
  <c r="BY600" i="4" s="1"/>
  <c r="BQ109" i="4"/>
  <c r="BW109" i="4" s="1"/>
  <c r="BY109" i="4" s="1"/>
  <c r="BQ555" i="4"/>
  <c r="BW555" i="4" s="1"/>
  <c r="BY555" i="4" s="1"/>
  <c r="BQ114" i="4"/>
  <c r="BW114" i="4" s="1"/>
  <c r="BY114" i="4" s="1"/>
  <c r="BQ158" i="4"/>
  <c r="BW158" i="4" s="1"/>
  <c r="BY158" i="4" s="1"/>
  <c r="BQ298" i="4"/>
  <c r="BW298" i="4" s="1"/>
  <c r="BY298" i="4" s="1"/>
  <c r="BQ515" i="4"/>
  <c r="BW515" i="4" s="1"/>
  <c r="BY515" i="4" s="1"/>
  <c r="BQ18" i="4"/>
  <c r="BW18" i="4" s="1"/>
  <c r="BY18" i="4" s="1"/>
  <c r="BQ350" i="4"/>
  <c r="BW350" i="4" s="1"/>
  <c r="BY350" i="4" s="1"/>
  <c r="BQ483" i="4"/>
  <c r="BW483" i="4" s="1"/>
  <c r="BY483" i="4" s="1"/>
  <c r="BQ123" i="4"/>
  <c r="BW123" i="4" s="1"/>
  <c r="BY123" i="4" s="1"/>
  <c r="BQ377" i="4"/>
  <c r="BW377" i="4" s="1"/>
  <c r="BY377" i="4" s="1"/>
  <c r="BQ317" i="4"/>
  <c r="BW317" i="4" s="1"/>
  <c r="BY317" i="4" s="1"/>
  <c r="BQ180" i="4"/>
  <c r="BW180" i="4" s="1"/>
  <c r="BY180" i="4" s="1"/>
  <c r="BQ16" i="4"/>
  <c r="BW16" i="4" s="1"/>
  <c r="BY16" i="4" s="1"/>
  <c r="BQ443" i="4"/>
  <c r="BW443" i="4" s="1"/>
  <c r="BY443" i="4" s="1"/>
  <c r="BQ529" i="4"/>
  <c r="BW529" i="4" s="1"/>
  <c r="BY529" i="4" s="1"/>
  <c r="BQ309" i="4"/>
  <c r="BW309" i="4" s="1"/>
  <c r="BY309" i="4" s="1"/>
  <c r="BQ325" i="4"/>
  <c r="BW325" i="4" s="1"/>
  <c r="BY325" i="4" s="1"/>
  <c r="CA655" i="4"/>
  <c r="BQ48" i="4"/>
  <c r="BW48" i="4" s="1"/>
  <c r="BY48" i="4" s="1"/>
  <c r="BQ334" i="4"/>
  <c r="BW334" i="4" s="1"/>
  <c r="BY334" i="4" s="1"/>
  <c r="BQ184" i="4"/>
  <c r="BW184" i="4" s="1"/>
  <c r="BY184" i="4" s="1"/>
  <c r="BQ74" i="4"/>
  <c r="BW74" i="4" s="1"/>
  <c r="BY74" i="4" s="1"/>
  <c r="BQ448" i="4"/>
  <c r="BW448" i="4" s="1"/>
  <c r="BY448" i="4" s="1"/>
  <c r="BQ493" i="4"/>
  <c r="BW493" i="4" s="1"/>
  <c r="BY493" i="4" s="1"/>
  <c r="BQ242" i="4"/>
  <c r="BW242" i="4" s="1"/>
  <c r="BY242" i="4" s="1"/>
  <c r="BQ273" i="4"/>
  <c r="BW273" i="4" s="1"/>
  <c r="BY273" i="4" s="1"/>
  <c r="BQ209" i="4"/>
  <c r="BW209" i="4" s="1"/>
  <c r="BY209" i="4" s="1"/>
  <c r="BQ105" i="4"/>
  <c r="BW105" i="4" s="1"/>
  <c r="BY105" i="4" s="1"/>
  <c r="BQ366" i="4"/>
  <c r="BW366" i="4" s="1"/>
  <c r="BY366" i="4" s="1"/>
  <c r="BQ70" i="4"/>
  <c r="BW70" i="4" s="1"/>
  <c r="BY70" i="4" s="1"/>
  <c r="BQ159" i="4"/>
  <c r="BW159" i="4" s="1"/>
  <c r="BY159" i="4" s="1"/>
  <c r="BQ506" i="4"/>
  <c r="BW506" i="4" s="1"/>
  <c r="BY506" i="4" s="1"/>
  <c r="BQ19" i="4"/>
  <c r="BW19" i="4" s="1"/>
  <c r="BY19" i="4" s="1"/>
  <c r="BQ8" i="4"/>
  <c r="BW8" i="4" s="1"/>
  <c r="BY8" i="4" s="1"/>
  <c r="BQ452" i="4"/>
  <c r="BW452" i="4" s="1"/>
  <c r="BY452" i="4" s="1"/>
  <c r="BQ78" i="4"/>
  <c r="BW78" i="4" s="1"/>
  <c r="BY78" i="4" s="1"/>
  <c r="BQ596" i="4"/>
  <c r="BW596" i="4" s="1"/>
  <c r="BY596" i="4" s="1"/>
  <c r="BQ84" i="4"/>
  <c r="BW84" i="4" s="1"/>
  <c r="BY84" i="4" s="1"/>
  <c r="BQ321" i="4"/>
  <c r="BW321" i="4" s="1"/>
  <c r="BY321" i="4" s="1"/>
  <c r="BQ385" i="4"/>
  <c r="BW385" i="4" s="1"/>
  <c r="BY385" i="4" s="1"/>
  <c r="BQ196" i="4"/>
  <c r="BW196" i="4" s="1"/>
  <c r="BY196" i="4" s="1"/>
  <c r="BQ14" i="4"/>
  <c r="BW14" i="4" s="1"/>
  <c r="BY14" i="4" s="1"/>
  <c r="BQ544" i="4"/>
  <c r="BW544" i="4" s="1"/>
  <c r="BY544" i="4" s="1"/>
  <c r="BQ162" i="4"/>
  <c r="BW162" i="4" s="1"/>
  <c r="BY162" i="4" s="1"/>
  <c r="BQ121" i="4"/>
  <c r="BW121" i="4" s="1"/>
  <c r="BY121" i="4" s="1"/>
  <c r="BQ488" i="4"/>
  <c r="BW488" i="4" s="1"/>
  <c r="BY488" i="4" s="1"/>
  <c r="BQ503" i="4"/>
  <c r="BW503" i="4" s="1"/>
  <c r="BY503" i="4" s="1"/>
  <c r="BQ473" i="4"/>
  <c r="BW473" i="4" s="1"/>
  <c r="BY473" i="4" s="1"/>
  <c r="BQ396" i="4"/>
  <c r="BW396" i="4" s="1"/>
  <c r="BY396" i="4" s="1"/>
  <c r="BQ496" i="4"/>
  <c r="BW496" i="4" s="1"/>
  <c r="BY496" i="4" s="1"/>
  <c r="BQ30" i="4"/>
  <c r="BW30" i="4" s="1"/>
  <c r="BY30" i="4" s="1"/>
  <c r="BQ245" i="4"/>
  <c r="BW245" i="4" s="1"/>
  <c r="BY245" i="4" s="1"/>
  <c r="BQ249" i="4"/>
  <c r="BW249" i="4" s="1"/>
  <c r="BY249" i="4" s="1"/>
  <c r="BQ210" i="4"/>
  <c r="BW210" i="4" s="1"/>
  <c r="BY210" i="4" s="1"/>
  <c r="BQ573" i="4"/>
  <c r="BW573" i="4" s="1"/>
  <c r="BY573" i="4" s="1"/>
  <c r="BQ50" i="4"/>
  <c r="BW50" i="4" s="1"/>
  <c r="BY50" i="4" s="1"/>
  <c r="BQ110" i="4"/>
  <c r="BW110" i="4" s="1"/>
  <c r="BY110" i="4" s="1"/>
  <c r="BQ67" i="4"/>
  <c r="BW67" i="4" s="1"/>
  <c r="BY67" i="4" s="1"/>
  <c r="BQ296" i="4"/>
  <c r="BW296" i="4" s="1"/>
  <c r="BY296" i="4" s="1"/>
  <c r="BQ160" i="4"/>
  <c r="BW160" i="4" s="1"/>
  <c r="BY160" i="4" s="1"/>
  <c r="BQ601" i="4"/>
  <c r="BW601" i="4" s="1"/>
  <c r="BY601" i="4" s="1"/>
  <c r="BQ501" i="4"/>
  <c r="BW501" i="4" s="1"/>
  <c r="BY501" i="4" s="1"/>
  <c r="BQ330" i="4"/>
  <c r="BW330" i="4" s="1"/>
  <c r="BY330" i="4" s="1"/>
  <c r="BQ518" i="4"/>
  <c r="BW518" i="4" s="1"/>
  <c r="BY518" i="4" s="1"/>
  <c r="BQ589" i="4"/>
  <c r="BW589" i="4" s="1"/>
  <c r="BY589" i="4" s="1"/>
  <c r="BQ303" i="4"/>
  <c r="BW303" i="4" s="1"/>
  <c r="BY303" i="4" s="1"/>
  <c r="BQ176" i="4"/>
  <c r="BW176" i="4" s="1"/>
  <c r="BY176" i="4" s="1"/>
  <c r="BQ411" i="4"/>
  <c r="BW411" i="4" s="1"/>
  <c r="BY411" i="4" s="1"/>
  <c r="BQ232" i="4"/>
  <c r="BW232" i="4" s="1"/>
  <c r="BY232" i="4" s="1"/>
  <c r="BQ381" i="4"/>
  <c r="BW381" i="4" s="1"/>
  <c r="BY381" i="4" s="1"/>
  <c r="BQ186" i="4"/>
  <c r="BW186" i="4" s="1"/>
  <c r="BY186" i="4" s="1"/>
  <c r="BQ192" i="4"/>
  <c r="BW192" i="4" s="1"/>
  <c r="BY192" i="4" s="1"/>
  <c r="BQ454" i="4"/>
  <c r="BW454" i="4" s="1"/>
  <c r="BY454" i="4" s="1"/>
  <c r="BQ267" i="4"/>
  <c r="BW267" i="4" s="1"/>
  <c r="BY267" i="4" s="1"/>
  <c r="BQ164" i="4"/>
  <c r="BW164" i="4" s="1"/>
  <c r="BY164" i="4" s="1"/>
  <c r="BQ129" i="4"/>
  <c r="BW129" i="4" s="1"/>
  <c r="BY129" i="4" s="1"/>
  <c r="BQ46" i="4"/>
  <c r="BW46" i="4" s="1"/>
  <c r="BY46" i="4" s="1"/>
  <c r="BQ137" i="4"/>
  <c r="BW137" i="4" s="1"/>
  <c r="BY137" i="4" s="1"/>
  <c r="BQ463" i="4"/>
  <c r="BW463" i="4" s="1"/>
  <c r="BY463" i="4" s="1"/>
  <c r="BQ558" i="4"/>
  <c r="BW558" i="4" s="1"/>
  <c r="BY558" i="4" s="1"/>
  <c r="BQ338" i="4"/>
  <c r="BW338" i="4" s="1"/>
  <c r="BY338" i="4" s="1"/>
  <c r="CA167" i="4"/>
  <c r="BQ270" i="4"/>
  <c r="BW270" i="4" s="1"/>
  <c r="BY270" i="4" s="1"/>
  <c r="BQ204" i="4"/>
  <c r="BW204" i="4" s="1"/>
  <c r="BY204" i="4" s="1"/>
  <c r="BQ564" i="4"/>
  <c r="BW564" i="4" s="1"/>
  <c r="BY564" i="4" s="1"/>
  <c r="BQ45" i="4"/>
  <c r="BW45" i="4" s="1"/>
  <c r="BY45" i="4" s="1"/>
  <c r="BQ59" i="4"/>
  <c r="BW59" i="4" s="1"/>
  <c r="BY59" i="4" s="1"/>
  <c r="BQ73" i="4"/>
  <c r="BW73" i="4" s="1"/>
  <c r="BY73" i="4" s="1"/>
  <c r="BQ163" i="4"/>
  <c r="BW163" i="4" s="1"/>
  <c r="BY163" i="4" s="1"/>
  <c r="BQ510" i="4"/>
  <c r="BW510" i="4" s="1"/>
  <c r="BY510" i="4" s="1"/>
  <c r="BQ553" i="4"/>
  <c r="BW553" i="4" s="1"/>
  <c r="BY553" i="4" s="1"/>
  <c r="BQ173" i="4"/>
  <c r="BW173" i="4" s="1"/>
  <c r="BY173" i="4" s="1"/>
  <c r="BQ227" i="4"/>
  <c r="BW227" i="4" s="1"/>
  <c r="BY227" i="4" s="1"/>
  <c r="BQ567" i="4"/>
  <c r="BW567" i="4" s="1"/>
  <c r="BY567" i="4" s="1"/>
  <c r="BQ545" i="4"/>
  <c r="BW545" i="4" s="1"/>
  <c r="BY545" i="4" s="1"/>
  <c r="BQ339" i="4"/>
  <c r="BW339" i="4" s="1"/>
  <c r="BY339" i="4" s="1"/>
  <c r="BQ406" i="4"/>
  <c r="BW406" i="4" s="1"/>
  <c r="BY406" i="4" s="1"/>
  <c r="BQ191" i="4"/>
  <c r="BW191" i="4" s="1"/>
  <c r="BY191" i="4" s="1"/>
  <c r="BQ238" i="4"/>
  <c r="BW238" i="4" s="1"/>
  <c r="BY238" i="4" s="1"/>
  <c r="BQ598" i="4"/>
  <c r="BW598" i="4" s="1"/>
  <c r="BY598" i="4" s="1"/>
  <c r="BQ141" i="4"/>
  <c r="BW141" i="4" s="1"/>
  <c r="BY141" i="4" s="1"/>
  <c r="BQ165" i="4"/>
  <c r="BW165" i="4" s="1"/>
  <c r="BY165" i="4" s="1"/>
  <c r="BQ285" i="4"/>
  <c r="BW285" i="4" s="1"/>
  <c r="BY285" i="4" s="1"/>
  <c r="BQ380" i="4"/>
  <c r="BW380" i="4" s="1"/>
  <c r="BY380" i="4" s="1"/>
  <c r="BQ572" i="4"/>
  <c r="BW572" i="4" s="1"/>
  <c r="BY572" i="4" s="1"/>
  <c r="BQ133" i="4"/>
  <c r="BW133" i="4" s="1"/>
  <c r="BY133" i="4" s="1"/>
  <c r="BQ397" i="4"/>
  <c r="BW397" i="4" s="1"/>
  <c r="BY397" i="4" s="1"/>
  <c r="BQ340" i="4"/>
  <c r="BW340" i="4" s="1"/>
  <c r="BY340" i="4" s="1"/>
  <c r="BQ429" i="4"/>
  <c r="BW429" i="4" s="1"/>
  <c r="BY429" i="4" s="1"/>
  <c r="BQ32" i="4"/>
  <c r="BW32" i="4" s="1"/>
  <c r="BY32" i="4" s="1"/>
  <c r="BQ398" i="4"/>
  <c r="BW398" i="4" s="1"/>
  <c r="BY398" i="4" s="1"/>
  <c r="BQ211" i="4"/>
  <c r="BW211" i="4" s="1"/>
  <c r="BY211" i="4" s="1"/>
  <c r="BQ216" i="4"/>
  <c r="BW216" i="4" s="1"/>
  <c r="BY216" i="4" s="1"/>
  <c r="BQ51" i="4"/>
  <c r="BW51" i="4" s="1"/>
  <c r="BY51" i="4" s="1"/>
  <c r="BQ278" i="4"/>
  <c r="BW278" i="4" s="1"/>
  <c r="BY278" i="4" s="1"/>
  <c r="BQ69" i="4"/>
  <c r="BW69" i="4" s="1"/>
  <c r="BY69" i="4" s="1"/>
  <c r="BQ154" i="4"/>
  <c r="BW154" i="4" s="1"/>
  <c r="BY154" i="4" s="1"/>
  <c r="BQ161" i="4"/>
  <c r="BW161" i="4" s="1"/>
  <c r="BY161" i="4" s="1"/>
  <c r="BQ258" i="4"/>
  <c r="BW258" i="4" s="1"/>
  <c r="BY258" i="4" s="1"/>
  <c r="BQ118" i="4"/>
  <c r="BW118" i="4" s="1"/>
  <c r="BY118" i="4" s="1"/>
  <c r="BQ283" i="4"/>
  <c r="BW283" i="4" s="1"/>
  <c r="BY283" i="4" s="1"/>
  <c r="BQ535" i="4"/>
  <c r="BW535" i="4" s="1"/>
  <c r="BY535" i="4" s="1"/>
  <c r="BQ562" i="4"/>
  <c r="BW562" i="4" s="1"/>
  <c r="BY562" i="4" s="1"/>
  <c r="BQ486" i="4"/>
  <c r="BW486" i="4" s="1"/>
  <c r="BY486" i="4" s="1"/>
  <c r="BQ576" i="4"/>
  <c r="BW576" i="4" s="1"/>
  <c r="BY576" i="4" s="1"/>
  <c r="BQ546" i="4"/>
  <c r="BW546" i="4" s="1"/>
  <c r="BY546" i="4" s="1"/>
  <c r="BQ357" i="4"/>
  <c r="BW357" i="4" s="1"/>
  <c r="BY357" i="4" s="1"/>
  <c r="BQ85" i="4"/>
  <c r="BW85" i="4" s="1"/>
  <c r="BY85" i="4" s="1"/>
  <c r="BQ445" i="4"/>
  <c r="BW445" i="4" s="1"/>
  <c r="BY445" i="4" s="1"/>
  <c r="BQ436" i="4"/>
  <c r="BW436" i="4" s="1"/>
  <c r="BY436" i="4" s="1"/>
  <c r="BQ135" i="4"/>
  <c r="BW135" i="4" s="1"/>
  <c r="BY135" i="4" s="1"/>
  <c r="BQ3" i="4"/>
  <c r="BW3" i="4" s="1"/>
  <c r="BY3" i="4" s="1"/>
  <c r="CA479" i="4"/>
  <c r="BP437" i="4"/>
  <c r="BP14" i="4"/>
  <c r="BP93" i="4"/>
  <c r="BP196" i="4"/>
  <c r="BP415" i="4"/>
  <c r="BP89" i="4"/>
  <c r="BP188" i="4"/>
  <c r="BP86" i="4"/>
  <c r="BP443" i="4"/>
  <c r="BP288" i="4"/>
  <c r="BP85" i="4"/>
  <c r="BP84" i="4"/>
  <c r="BP304" i="4"/>
  <c r="CA35" i="4"/>
  <c r="BP30" i="4"/>
  <c r="BP28" i="4"/>
  <c r="CA115" i="4"/>
  <c r="CA164" i="4"/>
  <c r="BP363" i="4"/>
  <c r="BP198" i="4"/>
  <c r="BP323" i="4"/>
  <c r="BP384" i="4"/>
  <c r="BP406" i="4"/>
  <c r="BP129" i="4"/>
  <c r="BP261" i="4"/>
  <c r="BP425" i="4"/>
  <c r="BP354" i="4"/>
  <c r="BP174" i="4"/>
  <c r="BP19" i="4"/>
  <c r="BP491" i="4"/>
  <c r="BP439" i="4"/>
  <c r="BP505" i="4"/>
  <c r="BP68" i="4"/>
  <c r="BP54" i="4"/>
  <c r="BP103" i="4"/>
  <c r="BP594" i="4"/>
  <c r="BP270" i="4"/>
  <c r="BP417" i="4"/>
  <c r="BP200" i="4"/>
  <c r="BP324" i="4"/>
  <c r="BP193" i="4"/>
  <c r="BP264" i="4"/>
  <c r="BP383" i="4"/>
  <c r="BP538" i="4"/>
  <c r="BP358" i="4"/>
  <c r="BP127" i="4"/>
  <c r="BP402" i="4"/>
  <c r="BP78" i="4"/>
  <c r="BP570" i="4"/>
  <c r="BP452" i="4"/>
  <c r="BP315" i="4"/>
  <c r="BP8" i="4"/>
  <c r="BP351" i="4"/>
  <c r="BP550" i="4"/>
  <c r="BP458" i="4"/>
  <c r="BP346" i="4"/>
  <c r="BP433" i="4"/>
  <c r="BP7" i="4"/>
  <c r="BP75" i="4"/>
  <c r="BP219" i="4"/>
  <c r="BP60" i="4"/>
  <c r="BP218" i="4"/>
  <c r="BP105" i="4"/>
  <c r="BP38" i="4"/>
  <c r="BP583" i="4"/>
  <c r="BP274" i="4"/>
  <c r="BP293" i="4"/>
  <c r="BP362" i="4"/>
  <c r="BP536" i="4"/>
  <c r="BP569" i="4"/>
  <c r="BP199" i="4"/>
  <c r="BP291" i="4"/>
  <c r="BP83" i="4"/>
  <c r="BP545" i="4"/>
  <c r="BP301" i="4"/>
  <c r="BP48" i="4"/>
  <c r="BP3" i="4"/>
  <c r="BP96" i="4"/>
  <c r="BP361" i="4"/>
  <c r="BP565" i="4"/>
  <c r="BP90" i="4"/>
  <c r="BP265" i="4"/>
  <c r="BP529" i="4"/>
  <c r="BP131" i="4"/>
  <c r="BP592" i="4"/>
  <c r="BP405" i="4"/>
  <c r="BP359" i="4"/>
  <c r="BP263" i="4"/>
  <c r="BP262" i="4"/>
  <c r="BP357" i="4"/>
  <c r="BP356" i="4"/>
  <c r="BP4" i="4"/>
  <c r="BP435" i="4"/>
  <c r="BP424" i="4"/>
  <c r="BP176" i="4"/>
  <c r="BP333" i="4"/>
  <c r="BP486" i="4"/>
  <c r="BP332" i="4"/>
  <c r="BP589" i="4"/>
  <c r="BP502" i="4"/>
  <c r="BP535" i="4"/>
  <c r="BP314" i="4"/>
  <c r="BP329" i="4"/>
  <c r="BP313" i="4"/>
  <c r="BP464" i="4"/>
  <c r="BP517" i="4"/>
  <c r="BP224" i="4"/>
  <c r="BP297" i="4"/>
  <c r="BP257" i="4"/>
  <c r="BP154" i="4"/>
  <c r="BP255" i="4"/>
  <c r="BP153" i="4"/>
  <c r="BP63" i="4"/>
  <c r="BP251" i="4"/>
  <c r="BP149" i="4"/>
  <c r="BP47" i="4"/>
  <c r="BP41" i="4"/>
  <c r="BP215" i="4"/>
  <c r="BP142" i="4"/>
  <c r="BP579" i="4"/>
  <c r="BP249" i="4"/>
  <c r="BP139" i="4"/>
  <c r="BP542" i="4"/>
  <c r="BP6" i="4"/>
  <c r="BP462" i="4"/>
  <c r="BP371" i="4"/>
  <c r="BP573" i="4"/>
  <c r="BP192" i="4"/>
  <c r="BP16" i="4"/>
  <c r="BP229" i="4"/>
  <c r="BP562" i="4"/>
  <c r="BP515" i="4"/>
  <c r="CB697" i="4"/>
  <c r="CB698" i="4"/>
  <c r="BP418" i="4"/>
  <c r="BP10" i="4"/>
  <c r="BP388" i="4"/>
  <c r="BP240" i="4"/>
  <c r="BP128" i="4"/>
  <c r="BP318" i="4"/>
  <c r="BP335" i="4"/>
  <c r="BP287" i="4"/>
  <c r="BP590" i="4"/>
  <c r="BP125" i="4"/>
  <c r="BP512" i="4"/>
  <c r="BP316" i="4"/>
  <c r="BP478" i="4"/>
  <c r="BP352" i="4"/>
  <c r="BP374" i="4"/>
  <c r="BP283" i="4"/>
  <c r="BP372" i="4"/>
  <c r="BP118" i="4"/>
  <c r="BP299" i="4"/>
  <c r="BP601" i="4"/>
  <c r="BP524" i="4"/>
  <c r="BP158" i="4"/>
  <c r="BP400" i="4"/>
  <c r="BP76" i="4"/>
  <c r="BP69" i="4"/>
  <c r="BP151" i="4"/>
  <c r="BP278" i="4"/>
  <c r="BP55" i="4"/>
  <c r="BP600" i="4"/>
  <c r="BP45" i="4"/>
  <c r="BP294" i="4"/>
  <c r="BP409" i="4"/>
  <c r="BP208" i="4"/>
  <c r="BP34" i="4"/>
  <c r="BP205" i="4"/>
  <c r="BP32" i="4"/>
  <c r="BP389" i="4"/>
  <c r="BP490" i="4"/>
  <c r="BP11" i="4"/>
  <c r="BP597" i="4"/>
  <c r="BP499" i="4"/>
  <c r="BP100" i="4"/>
  <c r="BP496" i="4"/>
  <c r="BP325" i="4"/>
  <c r="BP342" i="4"/>
  <c r="BP239" i="4"/>
  <c r="BP309" i="4"/>
  <c r="BP428" i="4"/>
  <c r="BP436" i="4"/>
  <c r="BP187" i="4"/>
  <c r="BP340" i="4"/>
  <c r="BP514" i="4"/>
  <c r="BP577" i="4"/>
  <c r="BP381" i="4"/>
  <c r="BP306" i="4"/>
  <c r="BP337" i="4"/>
  <c r="BP180" i="4"/>
  <c r="BP80" i="4"/>
  <c r="BP546" i="4"/>
  <c r="BP305" i="4"/>
  <c r="BP551" i="4"/>
  <c r="BP228" i="4"/>
  <c r="BP608" i="4"/>
  <c r="BP422" i="4"/>
  <c r="BP353" i="4"/>
  <c r="BP284" i="4"/>
  <c r="BP449" i="4"/>
  <c r="BP170" i="4"/>
  <c r="BP330" i="4"/>
  <c r="BP501" i="4"/>
  <c r="BP446" i="4"/>
  <c r="BP298" i="4"/>
  <c r="BP527" i="4"/>
  <c r="BP523" i="4"/>
  <c r="BP419" i="4"/>
  <c r="BP112" i="4"/>
  <c r="BP67" i="4"/>
  <c r="BP65" i="4"/>
  <c r="BP110" i="4"/>
  <c r="BP53" i="4"/>
  <c r="BP49" i="4"/>
  <c r="BP44" i="4"/>
  <c r="BP37" i="4"/>
  <c r="BP599" i="4"/>
  <c r="BP554" i="4"/>
  <c r="BP431" i="4"/>
  <c r="BP245" i="4"/>
  <c r="BP541" i="4"/>
  <c r="BP566" i="4"/>
  <c r="BP602" i="4"/>
  <c r="BP456" i="4"/>
  <c r="BP99" i="4"/>
  <c r="BP466" i="4"/>
  <c r="BP136" i="4"/>
  <c r="BP197" i="4"/>
  <c r="BP465" i="4"/>
  <c r="BP386" i="4"/>
  <c r="BP132" i="4"/>
  <c r="BP414" i="4"/>
  <c r="BP494" i="4"/>
  <c r="BP493" i="4"/>
  <c r="BP471" i="4"/>
  <c r="BP22" i="4"/>
  <c r="BP593" i="4"/>
  <c r="BP509" i="4"/>
  <c r="BP411" i="4"/>
  <c r="BP576" i="4"/>
  <c r="BP548" i="4"/>
  <c r="BP604" i="4"/>
  <c r="BP516" i="4"/>
  <c r="BP15" i="4"/>
  <c r="BP171" i="4"/>
  <c r="BP561" i="4"/>
  <c r="BP18" i="4"/>
  <c r="BP370" i="4"/>
  <c r="BP169" i="4"/>
  <c r="BP281" i="4"/>
  <c r="BP463" i="4"/>
  <c r="BP116" i="4"/>
  <c r="BP500" i="4"/>
  <c r="BP395" i="4"/>
  <c r="BP555" i="4"/>
  <c r="BP467" i="4"/>
  <c r="BP109" i="4"/>
  <c r="BP52" i="4"/>
  <c r="BP217" i="4"/>
  <c r="BP43" i="4"/>
  <c r="BP144" i="4"/>
  <c r="BP36" i="4"/>
  <c r="BP344" i="4"/>
  <c r="BP398" i="4"/>
  <c r="BP474" i="4"/>
  <c r="BP549" i="4"/>
  <c r="BP137" i="4"/>
  <c r="BP243" i="4"/>
  <c r="BP603" i="4"/>
  <c r="BP568" i="4"/>
  <c r="BP195" i="4"/>
  <c r="BP237" i="4"/>
  <c r="BP191" i="4"/>
  <c r="BP88" i="4"/>
  <c r="BP17" i="4"/>
  <c r="BP321" i="4"/>
  <c r="BP574" i="4"/>
  <c r="BP233" i="4"/>
  <c r="BP181" i="4"/>
  <c r="BP355" i="4"/>
  <c r="BP334" i="4"/>
  <c r="BP21" i="4"/>
  <c r="BP591" i="4"/>
  <c r="BP586" i="4"/>
  <c r="BP124" i="4"/>
  <c r="BP20" i="4"/>
  <c r="BP302" i="4"/>
  <c r="BP450" i="4"/>
  <c r="BP373" i="4"/>
  <c r="BP588" i="4"/>
  <c r="BP468" i="4"/>
  <c r="BP282" i="4"/>
  <c r="BP585" i="4"/>
  <c r="BP117" i="4"/>
  <c r="BP420" i="4"/>
  <c r="BP367" i="4"/>
  <c r="BP155" i="4"/>
  <c r="BP221" i="4"/>
  <c r="BP279" i="4"/>
  <c r="BP64" i="4"/>
  <c r="BP59" i="4"/>
  <c r="BP107" i="4"/>
  <c r="BP42" i="4"/>
  <c r="BP521" i="4"/>
  <c r="BP212" i="4"/>
  <c r="BP365" i="4"/>
  <c r="BP207" i="4"/>
  <c r="BP204" i="4"/>
  <c r="BP31" i="4"/>
  <c r="BP540" i="4"/>
  <c r="BP242" i="4"/>
  <c r="BP101" i="4"/>
  <c r="BP581" i="4"/>
  <c r="BP578" i="4"/>
  <c r="BP497" i="4"/>
  <c r="BP98" i="4"/>
  <c r="BP26" i="4"/>
  <c r="BP134" i="4"/>
  <c r="BP87" i="4"/>
  <c r="BP183" i="4"/>
  <c r="BP319" i="4"/>
  <c r="BP526" i="4"/>
  <c r="BP77" i="4"/>
  <c r="BP376" i="4"/>
  <c r="BP476" i="4"/>
  <c r="BP475" i="4"/>
  <c r="BP605" i="4"/>
  <c r="BP348" i="4"/>
  <c r="BP525" i="4"/>
  <c r="BP510" i="4"/>
  <c r="BP557" i="4"/>
  <c r="BP440" i="4"/>
  <c r="BP156" i="4"/>
  <c r="BP530" i="4"/>
  <c r="BP152" i="4"/>
  <c r="BP111" i="4"/>
  <c r="BP366" i="4"/>
  <c r="BP147" i="4"/>
  <c r="BP457" i="4"/>
  <c r="BP40" i="4"/>
  <c r="BP214" i="4"/>
  <c r="BP564" i="4"/>
  <c r="BP364" i="4"/>
  <c r="BP276" i="4"/>
  <c r="BP273" i="4"/>
  <c r="BP138" i="4"/>
  <c r="BP29" i="4"/>
  <c r="BP241" i="4"/>
  <c r="BP95" i="4"/>
  <c r="BP520" i="4"/>
  <c r="BP560" i="4"/>
  <c r="BP385" i="4"/>
  <c r="BP382" i="4"/>
  <c r="BP234" i="4"/>
  <c r="BP182" i="4"/>
  <c r="BP260" i="4"/>
  <c r="BP528" i="4"/>
  <c r="BP552" i="4"/>
  <c r="BP326" i="4"/>
  <c r="BP343" i="4"/>
  <c r="BP396" i="4"/>
  <c r="BP92" i="4"/>
  <c r="BP360" i="4"/>
  <c r="BP453" i="4"/>
  <c r="BP189" i="4"/>
  <c r="BP473" i="4"/>
  <c r="BP24" i="4"/>
  <c r="BP532" i="4"/>
  <c r="BP184" i="4"/>
  <c r="BP508" i="4"/>
  <c r="BP13" i="4"/>
  <c r="BP231" i="4"/>
  <c r="BP126" i="4"/>
  <c r="BP79" i="4"/>
  <c r="BP380" i="4"/>
  <c r="BP177" i="4"/>
  <c r="BP391" i="4"/>
  <c r="BP175" i="4"/>
  <c r="BP513" i="4"/>
  <c r="BP470" i="4"/>
  <c r="BP121" i="4"/>
  <c r="BP350" i="4"/>
  <c r="BP534" i="4"/>
  <c r="BP410" i="4"/>
  <c r="BP447" i="4"/>
  <c r="BP225" i="4"/>
  <c r="BP168" i="4"/>
  <c r="BP166" i="4"/>
  <c r="BP162" i="4"/>
  <c r="BP438" i="4"/>
  <c r="BP114" i="4"/>
  <c r="BP254" i="4"/>
  <c r="BP220" i="4"/>
  <c r="BP62" i="4"/>
  <c r="BP108" i="4"/>
  <c r="BP277" i="4"/>
  <c r="BP46" i="4"/>
  <c r="BP39" i="4"/>
  <c r="BP143" i="4"/>
  <c r="BP607" i="4"/>
  <c r="BP33" i="4"/>
  <c r="BP544" i="4"/>
  <c r="BP244" i="4"/>
  <c r="BP271" i="4"/>
  <c r="BP269" i="4"/>
  <c r="BP292" i="4"/>
  <c r="BP397" i="4"/>
  <c r="BP563" i="4"/>
  <c r="BP91" i="4"/>
  <c r="BP194" i="4"/>
  <c r="BP484" i="4"/>
  <c r="BP133" i="4"/>
  <c r="BP495" i="4"/>
  <c r="BP23" i="4"/>
  <c r="BP413" i="4"/>
  <c r="BP320" i="4"/>
  <c r="BP572" i="4"/>
  <c r="BP427" i="4"/>
  <c r="BP81" i="4"/>
  <c r="BP12" i="4"/>
  <c r="BP230" i="4"/>
  <c r="BP488" i="4"/>
  <c r="BP379" i="4"/>
  <c r="BP487" i="4"/>
  <c r="BP441" i="4"/>
  <c r="BP259" i="4"/>
  <c r="BP485" i="4"/>
  <c r="BP285" i="4"/>
  <c r="BP172" i="4"/>
  <c r="BP349" i="4"/>
  <c r="BP434" i="4"/>
  <c r="BP328" i="4"/>
  <c r="BP300" i="4"/>
  <c r="BP311" i="4"/>
  <c r="BP327" i="4"/>
  <c r="BP165" i="4"/>
  <c r="BP161" i="4"/>
  <c r="BP606" i="4"/>
  <c r="BP113" i="4"/>
  <c r="BP72" i="4"/>
  <c r="BP394" i="4"/>
  <c r="BP253" i="4"/>
  <c r="BP57" i="4"/>
  <c r="BP51" i="4"/>
  <c r="BP5" i="4"/>
  <c r="BP104" i="4"/>
  <c r="BP504" i="4"/>
  <c r="BP210" i="4"/>
  <c r="BP582" i="4"/>
  <c r="BP275" i="4"/>
  <c r="BP543" i="4"/>
  <c r="BP202" i="4"/>
  <c r="BP429" i="4"/>
  <c r="BP268" i="4"/>
  <c r="BP451" i="4"/>
  <c r="BP141" i="4"/>
  <c r="BP130" i="4"/>
  <c r="BP596" i="4"/>
  <c r="BP507" i="4"/>
  <c r="BP448" i="4"/>
  <c r="BP163" i="4"/>
  <c r="BP73" i="4"/>
  <c r="BP595" i="4"/>
  <c r="BP307" i="4"/>
  <c r="BP401" i="4"/>
  <c r="BP480" i="4"/>
  <c r="BP248" i="4"/>
  <c r="BP498" i="4"/>
  <c r="BP489" i="4"/>
  <c r="BX326" i="4" l="1"/>
  <c r="CA326" i="4" s="1"/>
  <c r="BX136" i="4"/>
  <c r="CA136" i="4" s="1"/>
  <c r="BX363" i="4"/>
  <c r="CA363" i="4" s="1"/>
  <c r="BX71" i="4"/>
  <c r="CA71" i="4" s="1"/>
  <c r="BX480" i="4"/>
  <c r="CA480" i="4" s="1"/>
  <c r="BX268" i="4"/>
  <c r="CA268" i="4" s="1"/>
  <c r="BX253" i="4"/>
  <c r="CA253" i="4" s="1"/>
  <c r="BX349" i="4"/>
  <c r="CA349" i="4" s="1"/>
  <c r="BX427" i="4"/>
  <c r="CA427" i="4" s="1"/>
  <c r="BX292" i="4"/>
  <c r="CA292" i="4" s="1"/>
  <c r="BX62" i="4"/>
  <c r="CA62" i="4" s="1"/>
  <c r="BX350" i="4"/>
  <c r="CA350" i="4" s="1"/>
  <c r="BX508" i="4"/>
  <c r="CA508" i="4" s="1"/>
  <c r="BX552" i="4"/>
  <c r="CA552" i="4" s="1"/>
  <c r="BX138" i="4"/>
  <c r="CA138" i="4" s="1"/>
  <c r="BX530" i="4"/>
  <c r="CA530" i="4" s="1"/>
  <c r="BX526" i="4"/>
  <c r="CA526" i="4" s="1"/>
  <c r="BX540" i="4"/>
  <c r="CA540" i="4" s="1"/>
  <c r="BX221" i="4"/>
  <c r="CA221" i="4" s="1"/>
  <c r="BX20" i="4"/>
  <c r="CA20" i="4" s="1"/>
  <c r="BX88" i="4"/>
  <c r="CA88" i="4" s="1"/>
  <c r="BX36" i="4"/>
  <c r="CA36" i="4" s="1"/>
  <c r="BX281" i="4"/>
  <c r="CA281" i="4" s="1"/>
  <c r="BX509" i="4"/>
  <c r="CA509" i="4" s="1"/>
  <c r="BX466" i="4"/>
  <c r="CA466" i="4" s="1"/>
  <c r="BX49" i="4"/>
  <c r="CA49" i="4" s="1"/>
  <c r="BX330" i="4"/>
  <c r="CA330" i="4" s="1"/>
  <c r="BX180" i="4"/>
  <c r="CA180" i="4" s="1"/>
  <c r="BX342" i="4"/>
  <c r="CA342" i="4" s="1"/>
  <c r="BX208" i="4"/>
  <c r="CA208" i="4" s="1"/>
  <c r="BX524" i="4"/>
  <c r="CA524" i="4" s="1"/>
  <c r="BX125" i="4"/>
  <c r="CA125" i="4" s="1"/>
  <c r="BX462" i="4"/>
  <c r="CA462" i="4" s="1"/>
  <c r="BX63" i="4"/>
  <c r="CA63" i="4" s="1"/>
  <c r="BX535" i="4"/>
  <c r="CA535" i="4" s="1"/>
  <c r="BX262" i="4"/>
  <c r="CA262" i="4" s="1"/>
  <c r="BX3" i="4"/>
  <c r="CA3" i="4" s="1"/>
  <c r="BX274" i="4"/>
  <c r="CA274" i="4" s="1"/>
  <c r="BX550" i="4"/>
  <c r="CA550" i="4" s="1"/>
  <c r="BX264" i="4"/>
  <c r="CA264" i="4" s="1"/>
  <c r="BX491" i="4"/>
  <c r="CA491" i="4" s="1"/>
  <c r="BX85" i="4"/>
  <c r="CA85" i="4" s="1"/>
  <c r="BX256" i="4"/>
  <c r="CA256" i="4" s="1"/>
  <c r="BX537" i="4"/>
  <c r="CA537" i="4" s="1"/>
  <c r="BX289" i="4"/>
  <c r="CA289" i="4" s="1"/>
  <c r="BX108" i="4"/>
  <c r="CA108" i="4" s="1"/>
  <c r="BX344" i="4"/>
  <c r="CA344" i="4" s="1"/>
  <c r="BX158" i="4"/>
  <c r="CA158" i="4" s="1"/>
  <c r="BX293" i="4"/>
  <c r="CA293" i="4" s="1"/>
  <c r="BX429" i="4"/>
  <c r="CA429" i="4" s="1"/>
  <c r="BX172" i="4"/>
  <c r="CA172" i="4" s="1"/>
  <c r="BX269" i="4"/>
  <c r="CA269" i="4" s="1"/>
  <c r="BX121" i="4"/>
  <c r="CA121" i="4" s="1"/>
  <c r="BX528" i="4"/>
  <c r="CA528" i="4" s="1"/>
  <c r="BX156" i="4"/>
  <c r="CA156" i="4" s="1"/>
  <c r="BX155" i="4"/>
  <c r="CA155" i="4" s="1"/>
  <c r="BX191" i="4"/>
  <c r="CA191" i="4" s="1"/>
  <c r="BX169" i="4"/>
  <c r="CA169" i="4" s="1"/>
  <c r="BX99" i="4"/>
  <c r="CA99" i="4" s="1"/>
  <c r="BX53" i="4"/>
  <c r="CA53" i="4" s="1"/>
  <c r="BX170" i="4"/>
  <c r="CA170" i="4" s="1"/>
  <c r="BX325" i="4"/>
  <c r="CA325" i="4" s="1"/>
  <c r="BX409" i="4"/>
  <c r="CA409" i="4" s="1"/>
  <c r="BX601" i="4"/>
  <c r="CA601" i="4" s="1"/>
  <c r="BX590" i="4"/>
  <c r="CA590" i="4" s="1"/>
  <c r="BX515" i="4"/>
  <c r="CA515" i="4" s="1"/>
  <c r="BX6" i="4"/>
  <c r="CA6" i="4" s="1"/>
  <c r="BX153" i="4"/>
  <c r="CA153" i="4" s="1"/>
  <c r="BX502" i="4"/>
  <c r="CA502" i="4" s="1"/>
  <c r="BX263" i="4"/>
  <c r="CA263" i="4" s="1"/>
  <c r="BX48" i="4"/>
  <c r="CA48" i="4" s="1"/>
  <c r="BX583" i="4"/>
  <c r="CA583" i="4" s="1"/>
  <c r="BX351" i="4"/>
  <c r="CA351" i="4" s="1"/>
  <c r="BX193" i="4"/>
  <c r="CA193" i="4" s="1"/>
  <c r="BX19" i="4"/>
  <c r="CA19" i="4" s="1"/>
  <c r="BX288" i="4"/>
  <c r="CA288" i="4" s="1"/>
  <c r="BX310" i="4"/>
  <c r="CA310" i="4" s="1"/>
  <c r="BX222" i="4"/>
  <c r="CA222" i="4" s="1"/>
  <c r="BX123" i="4"/>
  <c r="CA123" i="4" s="1"/>
  <c r="BX186" i="4"/>
  <c r="CA186" i="4" s="1"/>
  <c r="BX434" i="4"/>
  <c r="CA434" i="4" s="1"/>
  <c r="BX279" i="4"/>
  <c r="CA279" i="4" s="1"/>
  <c r="BX522" i="4"/>
  <c r="CA522" i="4" s="1"/>
  <c r="BX401" i="4"/>
  <c r="CA401" i="4" s="1"/>
  <c r="BX394" i="4"/>
  <c r="CA394" i="4" s="1"/>
  <c r="BX572" i="4"/>
  <c r="CA572" i="4" s="1"/>
  <c r="BX220" i="4"/>
  <c r="CA220" i="4" s="1"/>
  <c r="BX184" i="4"/>
  <c r="CA184" i="4" s="1"/>
  <c r="BX273" i="4"/>
  <c r="CA273" i="4" s="1"/>
  <c r="BX319" i="4"/>
  <c r="CA319" i="4" s="1"/>
  <c r="BX31" i="4"/>
  <c r="CA31" i="4" s="1"/>
  <c r="BX124" i="4"/>
  <c r="CA124" i="4" s="1"/>
  <c r="BX144" i="4"/>
  <c r="CA144" i="4" s="1"/>
  <c r="BX593" i="4"/>
  <c r="CA593" i="4" s="1"/>
  <c r="BX337" i="4"/>
  <c r="CA337" i="4" s="1"/>
  <c r="BX307" i="4"/>
  <c r="CA307" i="4" s="1"/>
  <c r="BX202" i="4"/>
  <c r="CA202" i="4" s="1"/>
  <c r="BX72" i="4"/>
  <c r="CA72" i="4" s="1"/>
  <c r="BX285" i="4"/>
  <c r="CA285" i="4" s="1"/>
  <c r="BX320" i="4"/>
  <c r="CA320" i="4" s="1"/>
  <c r="BX271" i="4"/>
  <c r="CA271" i="4" s="1"/>
  <c r="BX254" i="4"/>
  <c r="CA254" i="4" s="1"/>
  <c r="BX470" i="4"/>
  <c r="CA470" i="4" s="1"/>
  <c r="BX532" i="4"/>
  <c r="CA532" i="4" s="1"/>
  <c r="BX260" i="4"/>
  <c r="CA260" i="4" s="1"/>
  <c r="BX276" i="4"/>
  <c r="CA276" i="4" s="1"/>
  <c r="BX440" i="4"/>
  <c r="CA440" i="4" s="1"/>
  <c r="BX183" i="4"/>
  <c r="CA183" i="4" s="1"/>
  <c r="BX204" i="4"/>
  <c r="CA204" i="4" s="1"/>
  <c r="BX367" i="4"/>
  <c r="CA367" i="4" s="1"/>
  <c r="BX586" i="4"/>
  <c r="CA586" i="4" s="1"/>
  <c r="BX237" i="4"/>
  <c r="CA237" i="4" s="1"/>
  <c r="BX43" i="4"/>
  <c r="CA43" i="4" s="1"/>
  <c r="BX370" i="4"/>
  <c r="CA370" i="4" s="1"/>
  <c r="BX22" i="4"/>
  <c r="CA22" i="4" s="1"/>
  <c r="BX456" i="4"/>
  <c r="CA456" i="4" s="1"/>
  <c r="BX110" i="4"/>
  <c r="CA110" i="4" s="1"/>
  <c r="BX449" i="4"/>
  <c r="CA449" i="4" s="1"/>
  <c r="BX306" i="4"/>
  <c r="CA306" i="4" s="1"/>
  <c r="BX496" i="4"/>
  <c r="CA496" i="4" s="1"/>
  <c r="BX294" i="4"/>
  <c r="CA294" i="4" s="1"/>
  <c r="BX299" i="4"/>
  <c r="CA299" i="4" s="1"/>
  <c r="BX287" i="4"/>
  <c r="CA287" i="4" s="1"/>
  <c r="BX562" i="4"/>
  <c r="CA562" i="4" s="1"/>
  <c r="BX542" i="4"/>
  <c r="CA542" i="4" s="1"/>
  <c r="BX255" i="4"/>
  <c r="CA255" i="4" s="1"/>
  <c r="BX589" i="4"/>
  <c r="CA589" i="4" s="1"/>
  <c r="BX359" i="4"/>
  <c r="CA359" i="4" s="1"/>
  <c r="BX301" i="4"/>
  <c r="CA301" i="4" s="1"/>
  <c r="BX38" i="4"/>
  <c r="CA38" i="4" s="1"/>
  <c r="BX8" i="4"/>
  <c r="CA8" i="4" s="1"/>
  <c r="BX324" i="4"/>
  <c r="CA324" i="4" s="1"/>
  <c r="BX174" i="4"/>
  <c r="CA174" i="4" s="1"/>
  <c r="BX443" i="4"/>
  <c r="CA443" i="4" s="1"/>
  <c r="BX533" i="4"/>
  <c r="CA533" i="4" s="1"/>
  <c r="BX160" i="4"/>
  <c r="CA160" i="4" s="1"/>
  <c r="BX286" i="4"/>
  <c r="CA286" i="4" s="1"/>
  <c r="BX322" i="4"/>
  <c r="CA322" i="4" s="1"/>
  <c r="BX251" i="4"/>
  <c r="CA251" i="4" s="1"/>
  <c r="BX413" i="4"/>
  <c r="CA413" i="4" s="1"/>
  <c r="BX18" i="4"/>
  <c r="CA18" i="4" s="1"/>
  <c r="BX315" i="4"/>
  <c r="CA315" i="4" s="1"/>
  <c r="BX481" i="4"/>
  <c r="CA481" i="4" s="1"/>
  <c r="BX390" i="4"/>
  <c r="CA390" i="4" s="1"/>
  <c r="BX236" i="4"/>
  <c r="CA236" i="4" s="1"/>
  <c r="BX461" i="4"/>
  <c r="CA461" i="4" s="1"/>
  <c r="BX534" i="4"/>
  <c r="CA534" i="4" s="1"/>
  <c r="BX17" i="4"/>
  <c r="CA17" i="4" s="1"/>
  <c r="BX239" i="4"/>
  <c r="CA239" i="4" s="1"/>
  <c r="BX357" i="4"/>
  <c r="CA357" i="4" s="1"/>
  <c r="BX84" i="4"/>
  <c r="CA84" i="4" s="1"/>
  <c r="BX485" i="4"/>
  <c r="CA485" i="4" s="1"/>
  <c r="BX513" i="4"/>
  <c r="CA513" i="4" s="1"/>
  <c r="BX207" i="4"/>
  <c r="CA207" i="4" s="1"/>
  <c r="BX471" i="4"/>
  <c r="CA471" i="4" s="1"/>
  <c r="BX45" i="4"/>
  <c r="CA45" i="4" s="1"/>
  <c r="BX139" i="4"/>
  <c r="CA139" i="4" s="1"/>
  <c r="BX405" i="4"/>
  <c r="CA405" i="4" s="1"/>
  <c r="BX200" i="4"/>
  <c r="CA200" i="4" s="1"/>
  <c r="BX438" i="4"/>
  <c r="CA438" i="4" s="1"/>
  <c r="BX365" i="4"/>
  <c r="CA365" i="4" s="1"/>
  <c r="BX493" i="4"/>
  <c r="CA493" i="4" s="1"/>
  <c r="BX499" i="4"/>
  <c r="CA499" i="4" s="1"/>
  <c r="BX372" i="4"/>
  <c r="CA372" i="4" s="1"/>
  <c r="BX249" i="4"/>
  <c r="CA249" i="4" s="1"/>
  <c r="BX257" i="4"/>
  <c r="CA257" i="4" s="1"/>
  <c r="BX486" i="4"/>
  <c r="CA486" i="4" s="1"/>
  <c r="BX592" i="4"/>
  <c r="CA592" i="4" s="1"/>
  <c r="BX83" i="4"/>
  <c r="CA83" i="4" s="1"/>
  <c r="BX218" i="4"/>
  <c r="CA218" i="4" s="1"/>
  <c r="BX452" i="4"/>
  <c r="CA452" i="4" s="1"/>
  <c r="BX417" i="4"/>
  <c r="CA417" i="4" s="1"/>
  <c r="BX425" i="4"/>
  <c r="CA425" i="4" s="1"/>
  <c r="BX28" i="4"/>
  <c r="CA28" i="4" s="1"/>
  <c r="BX188" i="4"/>
  <c r="CA188" i="4" s="1"/>
  <c r="BX258" i="4"/>
  <c r="CA258" i="4" s="1"/>
  <c r="BX378" i="4"/>
  <c r="CA378" i="4" s="1"/>
  <c r="BX407" i="4"/>
  <c r="CA407" i="4" s="1"/>
  <c r="BX451" i="4"/>
  <c r="CA451" i="4" s="1"/>
  <c r="BX77" i="4"/>
  <c r="CA77" i="4" s="1"/>
  <c r="BX501" i="4"/>
  <c r="CA501" i="4" s="1"/>
  <c r="BX383" i="4"/>
  <c r="CA383" i="4" s="1"/>
  <c r="BX114" i="4"/>
  <c r="CA114" i="4" s="1"/>
  <c r="BX364" i="4"/>
  <c r="CA364" i="4" s="1"/>
  <c r="BX195" i="4"/>
  <c r="CA195" i="4" s="1"/>
  <c r="BX381" i="4"/>
  <c r="CA381" i="4" s="1"/>
  <c r="BX23" i="4"/>
  <c r="CA23" i="4" s="1"/>
  <c r="BX564" i="4"/>
  <c r="CA564" i="4" s="1"/>
  <c r="BX52" i="4"/>
  <c r="CA52" i="4" s="1"/>
  <c r="BX577" i="4"/>
  <c r="CA577" i="4" s="1"/>
  <c r="BX161" i="4"/>
  <c r="CA161" i="4" s="1"/>
  <c r="BX162" i="4"/>
  <c r="CA162" i="4" s="1"/>
  <c r="BX391" i="4"/>
  <c r="CA391" i="4" s="1"/>
  <c r="BX189" i="4"/>
  <c r="CA189" i="4" s="1"/>
  <c r="BX382" i="4"/>
  <c r="CA382" i="4" s="1"/>
  <c r="BX214" i="4"/>
  <c r="CA214" i="4" s="1"/>
  <c r="BX525" i="4"/>
  <c r="CA525" i="4" s="1"/>
  <c r="BX26" i="4"/>
  <c r="CA26" i="4" s="1"/>
  <c r="BX212" i="4"/>
  <c r="CA212" i="4" s="1"/>
  <c r="BX585" i="4"/>
  <c r="CA585" i="4" s="1"/>
  <c r="BX334" i="4"/>
  <c r="CA334" i="4" s="1"/>
  <c r="BX603" i="4"/>
  <c r="CA603" i="4" s="1"/>
  <c r="BX109" i="4"/>
  <c r="CA109" i="4" s="1"/>
  <c r="BX171" i="4"/>
  <c r="CA171" i="4" s="1"/>
  <c r="BX494" i="4"/>
  <c r="CA494" i="4" s="1"/>
  <c r="BX541" i="4"/>
  <c r="CA541" i="4" s="1"/>
  <c r="BX112" i="4"/>
  <c r="CA112" i="4" s="1"/>
  <c r="BX422" i="4"/>
  <c r="CA422" i="4" s="1"/>
  <c r="BX514" i="4"/>
  <c r="CA514" i="4" s="1"/>
  <c r="BX597" i="4"/>
  <c r="CA597" i="4" s="1"/>
  <c r="BX55" i="4"/>
  <c r="CA55" i="4" s="1"/>
  <c r="BX283" i="4"/>
  <c r="CA283" i="4" s="1"/>
  <c r="BX128" i="4"/>
  <c r="CA128" i="4" s="1"/>
  <c r="BX192" i="4"/>
  <c r="CA192" i="4" s="1"/>
  <c r="BX579" i="4"/>
  <c r="CA579" i="4" s="1"/>
  <c r="BX297" i="4"/>
  <c r="CA297" i="4" s="1"/>
  <c r="BX333" i="4"/>
  <c r="CA333" i="4" s="1"/>
  <c r="BX131" i="4"/>
  <c r="CA131" i="4" s="1"/>
  <c r="BX291" i="4"/>
  <c r="CA291" i="4" s="1"/>
  <c r="BX60" i="4"/>
  <c r="CA60" i="4" s="1"/>
  <c r="BX570" i="4"/>
  <c r="CA570" i="4" s="1"/>
  <c r="BX270" i="4"/>
  <c r="CA270" i="4" s="1"/>
  <c r="BX261" i="4"/>
  <c r="CA261" i="4" s="1"/>
  <c r="BX30" i="4"/>
  <c r="CA30" i="4" s="1"/>
  <c r="BX89" i="4"/>
  <c r="CA89" i="4" s="1"/>
  <c r="BX216" i="4"/>
  <c r="CA216" i="4" s="1"/>
  <c r="BX368" i="4"/>
  <c r="CA368" i="4" s="1"/>
  <c r="BX580" i="4"/>
  <c r="CA580" i="4" s="1"/>
  <c r="BX416" i="4"/>
  <c r="CA416" i="4" s="1"/>
  <c r="BX203" i="4"/>
  <c r="CA203" i="4" s="1"/>
  <c r="BX248" i="4"/>
  <c r="CA248" i="4" s="1"/>
  <c r="BX29" i="4"/>
  <c r="CA29" i="4" s="1"/>
  <c r="BX411" i="4"/>
  <c r="CA411" i="4" s="1"/>
  <c r="BX458" i="4"/>
  <c r="CA458" i="4" s="1"/>
  <c r="BX595" i="4"/>
  <c r="CA595" i="4" s="1"/>
  <c r="BX24" i="4"/>
  <c r="CA24" i="4" s="1"/>
  <c r="BX420" i="4"/>
  <c r="CA420" i="4" s="1"/>
  <c r="BX65" i="4"/>
  <c r="CA65" i="4" s="1"/>
  <c r="BX118" i="4"/>
  <c r="CA118" i="4" s="1"/>
  <c r="BX332" i="4"/>
  <c r="CA332" i="4" s="1"/>
  <c r="BX354" i="4"/>
  <c r="CA354" i="4" s="1"/>
  <c r="BX73" i="4"/>
  <c r="CA73" i="4" s="1"/>
  <c r="BX544" i="4"/>
  <c r="CA544" i="4" s="1"/>
  <c r="BX510" i="4"/>
  <c r="CA510" i="4" s="1"/>
  <c r="BX561" i="4"/>
  <c r="CA561" i="4" s="1"/>
  <c r="BX318" i="4"/>
  <c r="CA318" i="4" s="1"/>
  <c r="BX582" i="4"/>
  <c r="CA582" i="4" s="1"/>
  <c r="BX448" i="4"/>
  <c r="CA448" i="4" s="1"/>
  <c r="BX165" i="4"/>
  <c r="CA165" i="4" s="1"/>
  <c r="BX487" i="4"/>
  <c r="CA487" i="4" s="1"/>
  <c r="BX133" i="4"/>
  <c r="CA133" i="4" s="1"/>
  <c r="BX607" i="4"/>
  <c r="CA607" i="4" s="1"/>
  <c r="BX166" i="4"/>
  <c r="CA166" i="4" s="1"/>
  <c r="BX177" i="4"/>
  <c r="CA177" i="4" s="1"/>
  <c r="BX453" i="4"/>
  <c r="CA453" i="4" s="1"/>
  <c r="BX385" i="4"/>
  <c r="CA385" i="4" s="1"/>
  <c r="BX40" i="4"/>
  <c r="CA40" i="4" s="1"/>
  <c r="BX348" i="4"/>
  <c r="CA348" i="4" s="1"/>
  <c r="BX98" i="4"/>
  <c r="CA98" i="4" s="1"/>
  <c r="BX521" i="4"/>
  <c r="CA521" i="4" s="1"/>
  <c r="BX282" i="4"/>
  <c r="CA282" i="4" s="1"/>
  <c r="BX355" i="4"/>
  <c r="CA355" i="4" s="1"/>
  <c r="BX243" i="4"/>
  <c r="CA243" i="4" s="1"/>
  <c r="BX467" i="4"/>
  <c r="CA467" i="4" s="1"/>
  <c r="BX15" i="4"/>
  <c r="CA15" i="4" s="1"/>
  <c r="BX414" i="4"/>
  <c r="CA414" i="4" s="1"/>
  <c r="BX245" i="4"/>
  <c r="CA245" i="4" s="1"/>
  <c r="BX419" i="4"/>
  <c r="CA419" i="4" s="1"/>
  <c r="BX608" i="4"/>
  <c r="CA608" i="4" s="1"/>
  <c r="BX340" i="4"/>
  <c r="CA340" i="4" s="1"/>
  <c r="BX11" i="4"/>
  <c r="CA11" i="4" s="1"/>
  <c r="BX278" i="4"/>
  <c r="CA278" i="4" s="1"/>
  <c r="BX374" i="4"/>
  <c r="CA374" i="4" s="1"/>
  <c r="BX240" i="4"/>
  <c r="CA240" i="4" s="1"/>
  <c r="BX573" i="4"/>
  <c r="CA573" i="4" s="1"/>
  <c r="BX142" i="4"/>
  <c r="CA142" i="4" s="1"/>
  <c r="BX224" i="4"/>
  <c r="CA224" i="4" s="1"/>
  <c r="BX176" i="4"/>
  <c r="CA176" i="4" s="1"/>
  <c r="BX529" i="4"/>
  <c r="CA529" i="4" s="1"/>
  <c r="BX199" i="4"/>
  <c r="CA199" i="4" s="1"/>
  <c r="BX219" i="4"/>
  <c r="CA219" i="4" s="1"/>
  <c r="BX78" i="4"/>
  <c r="CA78" i="4" s="1"/>
  <c r="BX594" i="4"/>
  <c r="CA594" i="4" s="1"/>
  <c r="BX129" i="4"/>
  <c r="CA129" i="4" s="1"/>
  <c r="BX415" i="4"/>
  <c r="CA415" i="4" s="1"/>
  <c r="BX295" i="4"/>
  <c r="CA295" i="4" s="1"/>
  <c r="BX119" i="4"/>
  <c r="CA119" i="4" s="1"/>
  <c r="BX460" i="4"/>
  <c r="CA460" i="4" s="1"/>
  <c r="BX454" i="4"/>
  <c r="CA454" i="4" s="1"/>
  <c r="BX13" i="4"/>
  <c r="CA13" i="4" s="1"/>
  <c r="BX463" i="4"/>
  <c r="CA463" i="4" s="1"/>
  <c r="BX244" i="4"/>
  <c r="CA244" i="4" s="1"/>
  <c r="BX557" i="4"/>
  <c r="CA557" i="4" s="1"/>
  <c r="BX217" i="4"/>
  <c r="CA217" i="4" s="1"/>
  <c r="BX100" i="4"/>
  <c r="CA100" i="4" s="1"/>
  <c r="BX545" i="4"/>
  <c r="CA545" i="4" s="1"/>
  <c r="BX259" i="4"/>
  <c r="CA259" i="4" s="1"/>
  <c r="BX234" i="4"/>
  <c r="CA234" i="4" s="1"/>
  <c r="BX117" i="4"/>
  <c r="CA117" i="4" s="1"/>
  <c r="BX67" i="4"/>
  <c r="CA67" i="4" s="1"/>
  <c r="BX33" i="4"/>
  <c r="CA33" i="4" s="1"/>
  <c r="BX327" i="4"/>
  <c r="CA327" i="4" s="1"/>
  <c r="BX168" i="4"/>
  <c r="CA168" i="4" s="1"/>
  <c r="BX560" i="4"/>
  <c r="CA560" i="4" s="1"/>
  <c r="BX605" i="4"/>
  <c r="CA605" i="4" s="1"/>
  <c r="BX42" i="4"/>
  <c r="CA42" i="4" s="1"/>
  <c r="BX468" i="4"/>
  <c r="CA468" i="4" s="1"/>
  <c r="BX181" i="4"/>
  <c r="CA181" i="4" s="1"/>
  <c r="BX137" i="4"/>
  <c r="CA137" i="4" s="1"/>
  <c r="BX555" i="4"/>
  <c r="CA555" i="4" s="1"/>
  <c r="BX516" i="4"/>
  <c r="CA516" i="4" s="1"/>
  <c r="BX132" i="4"/>
  <c r="CA132" i="4" s="1"/>
  <c r="BX431" i="4"/>
  <c r="CA431" i="4" s="1"/>
  <c r="BX523" i="4"/>
  <c r="CA523" i="4" s="1"/>
  <c r="BX228" i="4"/>
  <c r="CA228" i="4" s="1"/>
  <c r="BX187" i="4"/>
  <c r="CA187" i="4" s="1"/>
  <c r="BX490" i="4"/>
  <c r="CA490" i="4" s="1"/>
  <c r="BX151" i="4"/>
  <c r="CA151" i="4" s="1"/>
  <c r="BX352" i="4"/>
  <c r="CA352" i="4" s="1"/>
  <c r="BX388" i="4"/>
  <c r="CA388" i="4" s="1"/>
  <c r="BX371" i="4"/>
  <c r="CA371" i="4" s="1"/>
  <c r="BX215" i="4"/>
  <c r="CA215" i="4" s="1"/>
  <c r="BX517" i="4"/>
  <c r="CA517" i="4" s="1"/>
  <c r="BX424" i="4"/>
  <c r="CA424" i="4" s="1"/>
  <c r="BX265" i="4"/>
  <c r="CA265" i="4" s="1"/>
  <c r="BX569" i="4"/>
  <c r="CA569" i="4" s="1"/>
  <c r="BX75" i="4"/>
  <c r="CA75" i="4" s="1"/>
  <c r="BX402" i="4"/>
  <c r="CA402" i="4" s="1"/>
  <c r="BX103" i="4"/>
  <c r="CA103" i="4" s="1"/>
  <c r="BX406" i="4"/>
  <c r="CA406" i="4" s="1"/>
  <c r="BX196" i="4"/>
  <c r="CA196" i="4" s="1"/>
  <c r="BX50" i="4"/>
  <c r="CA50" i="4" s="1"/>
  <c r="BX403" i="4"/>
  <c r="CA403" i="4" s="1"/>
  <c r="BX290" i="4"/>
  <c r="CA290" i="4" s="1"/>
  <c r="BX432" i="4"/>
  <c r="CA432" i="4" s="1"/>
  <c r="BX397" i="4"/>
  <c r="CA397" i="4" s="1"/>
  <c r="BX302" i="4"/>
  <c r="CA302" i="4" s="1"/>
  <c r="BX34" i="4"/>
  <c r="CA34" i="4" s="1"/>
  <c r="BX96" i="4"/>
  <c r="CA96" i="4" s="1"/>
  <c r="BX543" i="4"/>
  <c r="CA543" i="4" s="1"/>
  <c r="BX182" i="4"/>
  <c r="CA182" i="4" s="1"/>
  <c r="BX591" i="4"/>
  <c r="CA591" i="4" s="1"/>
  <c r="BX284" i="4"/>
  <c r="CA284" i="4" s="1"/>
  <c r="BX335" i="4"/>
  <c r="CA335" i="4" s="1"/>
  <c r="BX154" i="4"/>
  <c r="CA154" i="4" s="1"/>
  <c r="BX105" i="4"/>
  <c r="CA105" i="4" s="1"/>
  <c r="BX86" i="4"/>
  <c r="CA86" i="4" s="1"/>
  <c r="BX606" i="4"/>
  <c r="CA606" i="4" s="1"/>
  <c r="BX473" i="4"/>
  <c r="CA473" i="4" s="1"/>
  <c r="BX21" i="4"/>
  <c r="CA21" i="4" s="1"/>
  <c r="BX353" i="4"/>
  <c r="CA353" i="4" s="1"/>
  <c r="BX16" i="4"/>
  <c r="CA16" i="4" s="1"/>
  <c r="BX495" i="4"/>
  <c r="CA495" i="4" s="1"/>
  <c r="BX210" i="4"/>
  <c r="CA210" i="4" s="1"/>
  <c r="BX504" i="4"/>
  <c r="CA504" i="4" s="1"/>
  <c r="BX484" i="4"/>
  <c r="CA484" i="4" s="1"/>
  <c r="BX380" i="4"/>
  <c r="CA380" i="4" s="1"/>
  <c r="BX497" i="4"/>
  <c r="CA497" i="4" s="1"/>
  <c r="BX596" i="4"/>
  <c r="CA596" i="4" s="1"/>
  <c r="BX104" i="4"/>
  <c r="CA104" i="4" s="1"/>
  <c r="BX311" i="4"/>
  <c r="CA311" i="4" s="1"/>
  <c r="BX488" i="4"/>
  <c r="CA488" i="4" s="1"/>
  <c r="BX194" i="4"/>
  <c r="CA194" i="4" s="1"/>
  <c r="BX39" i="4"/>
  <c r="CA39" i="4" s="1"/>
  <c r="BX225" i="4"/>
  <c r="CA225" i="4" s="1"/>
  <c r="BX79" i="4"/>
  <c r="CA79" i="4" s="1"/>
  <c r="BX92" i="4"/>
  <c r="CA92" i="4" s="1"/>
  <c r="BX520" i="4"/>
  <c r="CA520" i="4" s="1"/>
  <c r="BX147" i="4"/>
  <c r="CA147" i="4" s="1"/>
  <c r="BX475" i="4"/>
  <c r="CA475" i="4" s="1"/>
  <c r="BX578" i="4"/>
  <c r="CA578" i="4" s="1"/>
  <c r="BX107" i="4"/>
  <c r="CA107" i="4" s="1"/>
  <c r="BX588" i="4"/>
  <c r="CA588" i="4" s="1"/>
  <c r="BX233" i="4"/>
  <c r="CA233" i="4" s="1"/>
  <c r="BX549" i="4"/>
  <c r="CA549" i="4" s="1"/>
  <c r="BX395" i="4"/>
  <c r="CA395" i="4" s="1"/>
  <c r="BX604" i="4"/>
  <c r="CA604" i="4" s="1"/>
  <c r="BX386" i="4"/>
  <c r="CA386" i="4" s="1"/>
  <c r="BX554" i="4"/>
  <c r="CA554" i="4" s="1"/>
  <c r="BX527" i="4"/>
  <c r="CA527" i="4" s="1"/>
  <c r="BX551" i="4"/>
  <c r="CA551" i="4" s="1"/>
  <c r="BX436" i="4"/>
  <c r="CA436" i="4" s="1"/>
  <c r="BX389" i="4"/>
  <c r="CA389" i="4" s="1"/>
  <c r="BX69" i="4"/>
  <c r="CA69" i="4" s="1"/>
  <c r="BX478" i="4"/>
  <c r="CA478" i="4" s="1"/>
  <c r="BX10" i="4"/>
  <c r="CA10" i="4" s="1"/>
  <c r="BX41" i="4"/>
  <c r="CA41" i="4" s="1"/>
  <c r="BX464" i="4"/>
  <c r="CA464" i="4" s="1"/>
  <c r="BX435" i="4"/>
  <c r="CA435" i="4" s="1"/>
  <c r="BX90" i="4"/>
  <c r="CA90" i="4" s="1"/>
  <c r="BX7" i="4"/>
  <c r="CA7" i="4" s="1"/>
  <c r="BX127" i="4"/>
  <c r="CA127" i="4" s="1"/>
  <c r="BX54" i="4"/>
  <c r="CA54" i="4" s="1"/>
  <c r="BX384" i="4"/>
  <c r="CA384" i="4" s="1"/>
  <c r="BX93" i="4"/>
  <c r="CA93" i="4" s="1"/>
  <c r="BX150" i="4"/>
  <c r="CA150" i="4" s="1"/>
  <c r="BX556" i="4"/>
  <c r="CA556" i="4" s="1"/>
  <c r="BX336" i="4"/>
  <c r="CA336" i="4" s="1"/>
  <c r="BX455" i="4"/>
  <c r="CA455" i="4" s="1"/>
  <c r="BX211" i="4"/>
  <c r="CA211" i="4" s="1"/>
  <c r="BX57" i="4"/>
  <c r="CA57" i="4" s="1"/>
  <c r="BX152" i="4"/>
  <c r="CA152" i="4" s="1"/>
  <c r="BX44" i="4"/>
  <c r="CA44" i="4" s="1"/>
  <c r="BX439" i="4"/>
  <c r="CA439" i="4" s="1"/>
  <c r="BX113" i="4"/>
  <c r="CA113" i="4" s="1"/>
  <c r="BX87" i="4"/>
  <c r="CA87" i="4" s="1"/>
  <c r="BX602" i="4"/>
  <c r="CA602" i="4" s="1"/>
  <c r="BX229" i="4"/>
  <c r="CA229" i="4" s="1"/>
  <c r="BX275" i="4"/>
  <c r="CA275" i="4" s="1"/>
  <c r="BX175" i="4"/>
  <c r="CA175" i="4" s="1"/>
  <c r="BX134" i="4"/>
  <c r="CA134" i="4" s="1"/>
  <c r="BX568" i="4"/>
  <c r="CA568" i="4" s="1"/>
  <c r="BX566" i="4"/>
  <c r="CA566" i="4" s="1"/>
  <c r="BX600" i="4"/>
  <c r="CA600" i="4" s="1"/>
  <c r="BX163" i="4"/>
  <c r="CA163" i="4" s="1"/>
  <c r="BX441" i="4"/>
  <c r="CA441" i="4" s="1"/>
  <c r="BX507" i="4"/>
  <c r="CA507" i="4" s="1"/>
  <c r="BX379" i="4"/>
  <c r="CA379" i="4" s="1"/>
  <c r="BX143" i="4"/>
  <c r="CA143" i="4" s="1"/>
  <c r="BX360" i="4"/>
  <c r="CA360" i="4" s="1"/>
  <c r="BX457" i="4"/>
  <c r="CA457" i="4" s="1"/>
  <c r="BX489" i="4"/>
  <c r="CA489" i="4" s="1"/>
  <c r="BX130" i="4"/>
  <c r="CA130" i="4" s="1"/>
  <c r="BX5" i="4"/>
  <c r="CA5" i="4" s="1"/>
  <c r="BX300" i="4"/>
  <c r="CA300" i="4" s="1"/>
  <c r="BX230" i="4"/>
  <c r="CA230" i="4" s="1"/>
  <c r="BX91" i="4"/>
  <c r="CA91" i="4" s="1"/>
  <c r="BX46" i="4"/>
  <c r="CA46" i="4" s="1"/>
  <c r="BX447" i="4"/>
  <c r="CA447" i="4" s="1"/>
  <c r="BX126" i="4"/>
  <c r="CA126" i="4" s="1"/>
  <c r="BX396" i="4"/>
  <c r="CA396" i="4" s="1"/>
  <c r="BX95" i="4"/>
  <c r="CA95" i="4" s="1"/>
  <c r="BX366" i="4"/>
  <c r="CA366" i="4" s="1"/>
  <c r="BX476" i="4"/>
  <c r="CA476" i="4" s="1"/>
  <c r="BX581" i="4"/>
  <c r="CA581" i="4" s="1"/>
  <c r="BX59" i="4"/>
  <c r="CA59" i="4" s="1"/>
  <c r="BX373" i="4"/>
  <c r="CA373" i="4" s="1"/>
  <c r="BX574" i="4"/>
  <c r="CA574" i="4" s="1"/>
  <c r="BX474" i="4"/>
  <c r="CA474" i="4" s="1"/>
  <c r="BX500" i="4"/>
  <c r="CA500" i="4" s="1"/>
  <c r="BX548" i="4"/>
  <c r="CA548" i="4" s="1"/>
  <c r="BX465" i="4"/>
  <c r="CA465" i="4" s="1"/>
  <c r="BX599" i="4"/>
  <c r="CA599" i="4" s="1"/>
  <c r="BX298" i="4"/>
  <c r="CA298" i="4" s="1"/>
  <c r="BX305" i="4"/>
  <c r="CA305" i="4" s="1"/>
  <c r="BX428" i="4"/>
  <c r="CA428" i="4" s="1"/>
  <c r="BX32" i="4"/>
  <c r="CA32" i="4" s="1"/>
  <c r="BX76" i="4"/>
  <c r="CA76" i="4" s="1"/>
  <c r="BX316" i="4"/>
  <c r="CA316" i="4" s="1"/>
  <c r="BX47" i="4"/>
  <c r="CA47" i="4" s="1"/>
  <c r="BX313" i="4"/>
  <c r="CA313" i="4" s="1"/>
  <c r="BX4" i="4"/>
  <c r="CA4" i="4" s="1"/>
  <c r="BX565" i="4"/>
  <c r="CA565" i="4" s="1"/>
  <c r="BX536" i="4"/>
  <c r="CA536" i="4" s="1"/>
  <c r="BX433" i="4"/>
  <c r="CA433" i="4" s="1"/>
  <c r="BX358" i="4"/>
  <c r="CA358" i="4" s="1"/>
  <c r="BX68" i="4"/>
  <c r="CA68" i="4" s="1"/>
  <c r="BX323" i="4"/>
  <c r="CA323" i="4" s="1"/>
  <c r="BX14" i="4"/>
  <c r="CA14" i="4" s="1"/>
  <c r="BX252" i="4"/>
  <c r="CA252" i="4" s="1"/>
  <c r="BX482" i="4"/>
  <c r="CA482" i="4" s="1"/>
  <c r="BX338" i="4"/>
  <c r="CA338" i="4" s="1"/>
  <c r="BX201" i="4"/>
  <c r="CA201" i="4" s="1"/>
  <c r="BX575" i="4"/>
  <c r="CA575" i="4" s="1"/>
  <c r="BX81" i="4"/>
  <c r="CA81" i="4" s="1"/>
  <c r="BX242" i="4"/>
  <c r="CA242" i="4" s="1"/>
  <c r="BX80" i="4"/>
  <c r="CA80" i="4" s="1"/>
  <c r="BX314" i="4"/>
  <c r="CA314" i="4" s="1"/>
  <c r="BX404" i="4"/>
  <c r="CA404" i="4" s="1"/>
  <c r="BX498" i="4"/>
  <c r="CA498" i="4" s="1"/>
  <c r="BX141" i="4"/>
  <c r="CA141" i="4" s="1"/>
  <c r="BX51" i="4"/>
  <c r="CA51" i="4" s="1"/>
  <c r="BX328" i="4"/>
  <c r="CA328" i="4" s="1"/>
  <c r="BX12" i="4"/>
  <c r="CA12" i="4" s="1"/>
  <c r="BX563" i="4"/>
  <c r="CA563" i="4" s="1"/>
  <c r="BX277" i="4"/>
  <c r="CA277" i="4" s="1"/>
  <c r="BX410" i="4"/>
  <c r="CA410" i="4" s="1"/>
  <c r="BX231" i="4"/>
  <c r="CA231" i="4" s="1"/>
  <c r="BX343" i="4"/>
  <c r="CA343" i="4" s="1"/>
  <c r="BX241" i="4"/>
  <c r="CA241" i="4" s="1"/>
  <c r="BX111" i="4"/>
  <c r="CA111" i="4" s="1"/>
  <c r="BX376" i="4"/>
  <c r="CA376" i="4" s="1"/>
  <c r="BX101" i="4"/>
  <c r="CA101" i="4" s="1"/>
  <c r="BX64" i="4"/>
  <c r="CA64" i="4" s="1"/>
  <c r="BX450" i="4"/>
  <c r="CA450" i="4" s="1"/>
  <c r="BX321" i="4"/>
  <c r="CA321" i="4" s="1"/>
  <c r="BX398" i="4"/>
  <c r="CA398" i="4" s="1"/>
  <c r="BX116" i="4"/>
  <c r="CA116" i="4" s="1"/>
  <c r="BX576" i="4"/>
  <c r="CA576" i="4" s="1"/>
  <c r="BX197" i="4"/>
  <c r="CA197" i="4" s="1"/>
  <c r="BX37" i="4"/>
  <c r="CA37" i="4" s="1"/>
  <c r="BX446" i="4"/>
  <c r="CA446" i="4" s="1"/>
  <c r="BX546" i="4"/>
  <c r="CA546" i="4" s="1"/>
  <c r="BX309" i="4"/>
  <c r="CA309" i="4" s="1"/>
  <c r="BX205" i="4"/>
  <c r="CA205" i="4" s="1"/>
  <c r="BX400" i="4"/>
  <c r="CA400" i="4" s="1"/>
  <c r="BX512" i="4"/>
  <c r="CA512" i="4" s="1"/>
  <c r="BX418" i="4"/>
  <c r="CA418" i="4" s="1"/>
  <c r="BX149" i="4"/>
  <c r="CA149" i="4" s="1"/>
  <c r="BX329" i="4"/>
  <c r="CA329" i="4" s="1"/>
  <c r="BX356" i="4"/>
  <c r="CA356" i="4" s="1"/>
  <c r="BX361" i="4"/>
  <c r="CA361" i="4" s="1"/>
  <c r="BX362" i="4"/>
  <c r="CA362" i="4" s="1"/>
  <c r="BX346" i="4"/>
  <c r="CA346" i="4" s="1"/>
  <c r="BX538" i="4"/>
  <c r="CA538" i="4" s="1"/>
  <c r="BX505" i="4"/>
  <c r="CA505" i="4" s="1"/>
  <c r="BX198" i="4"/>
  <c r="CA198" i="4" s="1"/>
  <c r="BX304" i="4"/>
  <c r="CA304" i="4" s="1"/>
  <c r="BX437" i="4"/>
  <c r="CA437" i="4" s="1"/>
  <c r="BX66" i="4"/>
  <c r="CA66" i="4" s="1"/>
  <c r="BX469" i="4"/>
  <c r="CA469" i="4" s="1"/>
  <c r="BX503" i="4"/>
  <c r="CA503" i="4" s="1"/>
  <c r="BX345" i="4"/>
  <c r="CA345" i="4" s="1"/>
  <c r="CE639" i="4"/>
  <c r="CA658" i="4"/>
  <c r="CB658" i="4" s="1"/>
  <c r="CA669" i="4"/>
  <c r="CB669" i="4" s="1"/>
  <c r="CC669" i="4" s="1"/>
  <c r="CA609" i="4"/>
  <c r="CB609" i="4" s="1"/>
  <c r="CA668" i="4"/>
  <c r="CB668" i="4" s="1"/>
  <c r="CA620" i="4"/>
  <c r="CB620" i="4" s="1"/>
  <c r="CA681" i="4"/>
  <c r="CB681" i="4" s="1"/>
  <c r="CA633" i="4"/>
  <c r="CB633" i="4" s="1"/>
  <c r="CA683" i="4"/>
  <c r="CB683" i="4" s="1"/>
  <c r="CA670" i="4"/>
  <c r="CB670" i="4" s="1"/>
  <c r="CC625" i="4"/>
  <c r="CE625" i="4" s="1"/>
  <c r="CC635" i="4"/>
  <c r="CE635" i="4" s="1"/>
  <c r="CC654" i="4"/>
  <c r="CE654" i="4" s="1"/>
  <c r="CC644" i="4"/>
  <c r="CE644" i="4" s="1"/>
  <c r="CC630" i="4"/>
  <c r="CE630" i="4" s="1"/>
  <c r="CC610" i="4"/>
  <c r="CE610" i="4" s="1"/>
  <c r="CC612" i="4"/>
  <c r="CE612" i="4" s="1"/>
  <c r="CC643" i="4"/>
  <c r="CE643" i="4" s="1"/>
  <c r="CC661" i="4"/>
  <c r="CE661" i="4" s="1"/>
  <c r="CC653" i="4"/>
  <c r="CE653" i="4" s="1"/>
  <c r="CC640" i="4"/>
  <c r="CE640" i="4" s="1"/>
  <c r="CC649" i="4"/>
  <c r="CE649" i="4" s="1"/>
  <c r="CC656" i="4"/>
  <c r="CE656" i="4" s="1"/>
  <c r="CC651" i="4"/>
  <c r="CE651" i="4" s="1"/>
  <c r="CC652" i="4"/>
  <c r="CE652" i="4" s="1"/>
  <c r="CC685" i="4"/>
  <c r="CE685" i="4" s="1"/>
  <c r="CC673" i="4"/>
  <c r="CE673" i="4" s="1"/>
  <c r="CC682" i="4"/>
  <c r="CE682" i="4" s="1"/>
  <c r="CC650" i="4"/>
  <c r="CE650" i="4" s="1"/>
  <c r="CC631" i="4"/>
  <c r="CE631" i="4" s="1"/>
  <c r="CC611" i="4"/>
  <c r="CE611" i="4" s="1"/>
  <c r="CC638" i="4"/>
  <c r="CE638" i="4" s="1"/>
  <c r="CC695" i="4"/>
  <c r="CE695" i="4" s="1"/>
  <c r="CC616" i="4"/>
  <c r="CE616" i="4" s="1"/>
  <c r="CC679" i="4"/>
  <c r="CE679" i="4" s="1"/>
  <c r="CC628" i="4"/>
  <c r="CE628" i="4" s="1"/>
  <c r="CC637" i="4"/>
  <c r="CE637" i="4" s="1"/>
  <c r="CC677" i="4"/>
  <c r="CE677" i="4" s="1"/>
  <c r="CC662" i="4"/>
  <c r="CE662" i="4" s="1"/>
  <c r="CC648" i="4"/>
  <c r="CE648" i="4" s="1"/>
  <c r="CC634" i="4"/>
  <c r="CE634" i="4" s="1"/>
  <c r="CC617" i="4"/>
  <c r="CE617" i="4" s="1"/>
  <c r="CC698" i="4"/>
  <c r="CE698" i="4" s="1"/>
  <c r="CC626" i="4"/>
  <c r="CE626" i="4" s="1"/>
  <c r="CC614" i="4"/>
  <c r="CE614" i="4" s="1"/>
  <c r="CC697" i="4"/>
  <c r="CE697" i="4" s="1"/>
  <c r="CC687" i="4"/>
  <c r="CE687" i="4" s="1"/>
  <c r="CC667" i="4"/>
  <c r="CE667" i="4" s="1"/>
  <c r="CC694" i="4"/>
  <c r="CE694" i="4" s="1"/>
  <c r="CC692" i="4"/>
  <c r="CE692" i="4" s="1"/>
  <c r="CC641" i="4"/>
  <c r="CE641" i="4" s="1"/>
  <c r="CC613" i="4"/>
  <c r="CE613" i="4" s="1"/>
  <c r="CB646" i="4"/>
  <c r="CB676" i="4"/>
  <c r="CB690" i="4"/>
  <c r="CB666" i="4"/>
  <c r="CB615" i="4"/>
  <c r="CB689" i="4"/>
  <c r="CB629" i="4"/>
  <c r="CB688" i="4"/>
  <c r="CB657" i="4"/>
  <c r="CB621" i="4"/>
  <c r="CB655" i="4"/>
  <c r="CB659" i="4"/>
  <c r="CB678" i="4"/>
  <c r="CB623" i="4"/>
  <c r="CB645" i="4"/>
  <c r="CB665" i="4"/>
  <c r="CB618" i="4"/>
  <c r="CB680" i="4"/>
  <c r="CB647" i="4"/>
  <c r="CB632" i="4"/>
  <c r="CB642" i="4"/>
  <c r="CB693" i="4"/>
  <c r="CB664" i="4"/>
  <c r="CB671" i="4"/>
  <c r="CC684" i="4"/>
  <c r="CE684" i="4" s="1"/>
  <c r="CC660" i="4"/>
  <c r="CE660" i="4" s="1"/>
  <c r="CC624" i="4"/>
  <c r="CE624" i="4" s="1"/>
  <c r="CC686" i="4"/>
  <c r="CE686" i="4" s="1"/>
  <c r="CC619" i="4"/>
  <c r="CE619" i="4" s="1"/>
  <c r="CC663" i="4"/>
  <c r="CE663" i="4" s="1"/>
  <c r="CC675" i="4"/>
  <c r="CE675" i="4" s="1"/>
  <c r="CC627" i="4"/>
  <c r="CE627" i="4" s="1"/>
  <c r="CC674" i="4"/>
  <c r="CE674" i="4" s="1"/>
  <c r="CC691" i="4"/>
  <c r="CE691" i="4" s="1"/>
  <c r="CC636" i="4"/>
  <c r="CE636" i="4" s="1"/>
  <c r="CC672" i="4"/>
  <c r="CE672" i="4" s="1"/>
  <c r="CC696" i="4"/>
  <c r="CE696" i="4" s="1"/>
  <c r="CC622" i="4"/>
  <c r="CE622" i="4" s="1"/>
  <c r="BT61" i="1"/>
  <c r="BS58" i="1"/>
  <c r="BS60" i="1"/>
  <c r="BS61" i="1"/>
  <c r="BQ41" i="1"/>
  <c r="BQ59" i="1"/>
  <c r="I38" i="2"/>
  <c r="I37" i="2"/>
  <c r="I36" i="2"/>
  <c r="BS59" i="1" s="1"/>
  <c r="I35" i="2"/>
  <c r="BS55" i="1" s="1"/>
  <c r="I34" i="2"/>
  <c r="BS51" i="1" s="1"/>
  <c r="I33" i="2"/>
  <c r="BS50" i="1" s="1"/>
  <c r="I32" i="2"/>
  <c r="BS49" i="1" s="1"/>
  <c r="I31" i="2"/>
  <c r="I30" i="2"/>
  <c r="BS39" i="1" s="1"/>
  <c r="I29" i="2"/>
  <c r="BS28" i="1" s="1"/>
  <c r="I28" i="2"/>
  <c r="H42" i="2"/>
  <c r="I42" i="2" s="1"/>
  <c r="H41" i="2"/>
  <c r="I41" i="2" s="1"/>
  <c r="H40" i="2"/>
  <c r="I40" i="2" s="1"/>
  <c r="H39" i="2"/>
  <c r="I39" i="2" s="1"/>
  <c r="C55" i="2"/>
  <c r="BT42" i="1" s="1"/>
  <c r="C52" i="2"/>
  <c r="C51" i="2"/>
  <c r="C50" i="2"/>
  <c r="B48" i="2"/>
  <c r="C48" i="2" s="1"/>
  <c r="C49" i="2"/>
  <c r="C56" i="2"/>
  <c r="C57" i="2"/>
  <c r="C33" i="2"/>
  <c r="BQ42" i="1" s="1"/>
  <c r="C32" i="2"/>
  <c r="BQ52" i="1" s="1"/>
  <c r="C31" i="2"/>
  <c r="C30" i="2"/>
  <c r="C29" i="2"/>
  <c r="C28" i="2"/>
  <c r="BQ8" i="1" s="1"/>
  <c r="C27" i="2"/>
  <c r="C45" i="2"/>
  <c r="BR47" i="1" s="1"/>
  <c r="C44" i="2"/>
  <c r="C43" i="2"/>
  <c r="BR39" i="1" s="1"/>
  <c r="C42" i="2"/>
  <c r="C41" i="2"/>
  <c r="BR11" i="1" s="1"/>
  <c r="C40" i="2"/>
  <c r="B39" i="2"/>
  <c r="C39" i="2" s="1"/>
  <c r="B35" i="2"/>
  <c r="C35" i="2" s="1"/>
  <c r="B34" i="2"/>
  <c r="C34" i="2" s="1"/>
  <c r="C26" i="2"/>
  <c r="C25" i="2"/>
  <c r="BE60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4" i="1"/>
  <c r="BE55" i="1"/>
  <c r="BE56" i="1"/>
  <c r="BE57" i="1"/>
  <c r="BE59" i="1"/>
  <c r="BE64" i="1"/>
  <c r="BE65" i="1"/>
  <c r="BN2" i="1"/>
  <c r="BW2" i="1" s="1"/>
  <c r="BN3" i="1"/>
  <c r="BW3" i="1" s="1"/>
  <c r="BN4" i="1"/>
  <c r="BW4" i="1" s="1"/>
  <c r="BN5" i="1"/>
  <c r="BW5" i="1" s="1"/>
  <c r="BN6" i="1"/>
  <c r="BW6" i="1" s="1"/>
  <c r="BN7" i="1"/>
  <c r="BW7" i="1" s="1"/>
  <c r="BN8" i="1"/>
  <c r="BW8" i="1" s="1"/>
  <c r="BN9" i="1"/>
  <c r="BW9" i="1" s="1"/>
  <c r="BN10" i="1"/>
  <c r="BW10" i="1" s="1"/>
  <c r="BN11" i="1"/>
  <c r="BW11" i="1" s="1"/>
  <c r="BN12" i="1"/>
  <c r="BW12" i="1" s="1"/>
  <c r="BN13" i="1"/>
  <c r="BW13" i="1" s="1"/>
  <c r="BN14" i="1"/>
  <c r="BW14" i="1" s="1"/>
  <c r="BN15" i="1"/>
  <c r="BW15" i="1" s="1"/>
  <c r="BN16" i="1"/>
  <c r="BW16" i="1" s="1"/>
  <c r="BN17" i="1"/>
  <c r="BW17" i="1" s="1"/>
  <c r="BN18" i="1"/>
  <c r="BW18" i="1" s="1"/>
  <c r="BN19" i="1"/>
  <c r="BW19" i="1" s="1"/>
  <c r="BN20" i="1"/>
  <c r="BW20" i="1" s="1"/>
  <c r="BN21" i="1"/>
  <c r="BW21" i="1" s="1"/>
  <c r="BN22" i="1"/>
  <c r="BW22" i="1" s="1"/>
  <c r="BN23" i="1"/>
  <c r="BW23" i="1" s="1"/>
  <c r="BN24" i="1"/>
  <c r="BW24" i="1" s="1"/>
  <c r="BN25" i="1"/>
  <c r="BW25" i="1" s="1"/>
  <c r="BN26" i="1"/>
  <c r="BW26" i="1" s="1"/>
  <c r="BN27" i="1"/>
  <c r="BW27" i="1" s="1"/>
  <c r="BN28" i="1"/>
  <c r="BW28" i="1" s="1"/>
  <c r="BN29" i="1"/>
  <c r="BW29" i="1" s="1"/>
  <c r="BN30" i="1"/>
  <c r="BW30" i="1" s="1"/>
  <c r="BN31" i="1"/>
  <c r="BW31" i="1" s="1"/>
  <c r="BN32" i="1"/>
  <c r="BW32" i="1" s="1"/>
  <c r="BN33" i="1"/>
  <c r="BW33" i="1" s="1"/>
  <c r="BN34" i="1"/>
  <c r="BW34" i="1" s="1"/>
  <c r="BN35" i="1"/>
  <c r="BW35" i="1" s="1"/>
  <c r="BN36" i="1"/>
  <c r="BW36" i="1" s="1"/>
  <c r="BN37" i="1"/>
  <c r="BW37" i="1" s="1"/>
  <c r="BN38" i="1"/>
  <c r="BW38" i="1" s="1"/>
  <c r="BN39" i="1"/>
  <c r="BW39" i="1" s="1"/>
  <c r="BN40" i="1"/>
  <c r="BW40" i="1" s="1"/>
  <c r="BN41" i="1"/>
  <c r="BW41" i="1" s="1"/>
  <c r="BN42" i="1"/>
  <c r="BW42" i="1" s="1"/>
  <c r="BN43" i="1"/>
  <c r="BW43" i="1" s="1"/>
  <c r="BN44" i="1"/>
  <c r="BW44" i="1" s="1"/>
  <c r="BN45" i="1"/>
  <c r="BW45" i="1" s="1"/>
  <c r="BN46" i="1"/>
  <c r="BW46" i="1" s="1"/>
  <c r="BN47" i="1"/>
  <c r="BW47" i="1" s="1"/>
  <c r="BN48" i="1"/>
  <c r="BW48" i="1" s="1"/>
  <c r="BN49" i="1"/>
  <c r="BW49" i="1" s="1"/>
  <c r="BN50" i="1"/>
  <c r="BW50" i="1" s="1"/>
  <c r="BN51" i="1"/>
  <c r="BW51" i="1" s="1"/>
  <c r="BN52" i="1"/>
  <c r="BW52" i="1" s="1"/>
  <c r="BN53" i="1"/>
  <c r="BW53" i="1" s="1"/>
  <c r="BN54" i="1"/>
  <c r="BW54" i="1" s="1"/>
  <c r="BN55" i="1"/>
  <c r="BW55" i="1" s="1"/>
  <c r="BN56" i="1"/>
  <c r="BW56" i="1" s="1"/>
  <c r="BN57" i="1"/>
  <c r="BW57" i="1" s="1"/>
  <c r="BN58" i="1"/>
  <c r="BW58" i="1" s="1"/>
  <c r="BN59" i="1"/>
  <c r="BW59" i="1" s="1"/>
  <c r="BN60" i="1"/>
  <c r="BW60" i="1" s="1"/>
  <c r="BN61" i="1"/>
  <c r="BW61" i="1" s="1"/>
  <c r="BN62" i="1"/>
  <c r="BW62" i="1" s="1"/>
  <c r="BN63" i="1"/>
  <c r="BW63" i="1" s="1"/>
  <c r="BN64" i="1"/>
  <c r="BW64" i="1" s="1"/>
  <c r="BN65" i="1"/>
  <c r="BW65" i="1" s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CC658" i="4" l="1"/>
  <c r="CE658" i="4" s="1"/>
  <c r="CC633" i="4"/>
  <c r="CE633" i="4" s="1"/>
  <c r="CC681" i="4"/>
  <c r="CE681" i="4" s="1"/>
  <c r="CC620" i="4"/>
  <c r="CE620" i="4" s="1"/>
  <c r="CC683" i="4"/>
  <c r="CE683" i="4" s="1"/>
  <c r="CC668" i="4"/>
  <c r="CE668" i="4" s="1"/>
  <c r="CC609" i="4"/>
  <c r="CE609" i="4" s="1"/>
  <c r="CC670" i="4"/>
  <c r="CE670" i="4" s="1"/>
  <c r="CE669" i="4"/>
  <c r="CC647" i="4"/>
  <c r="CE647" i="4" s="1"/>
  <c r="CC629" i="4"/>
  <c r="CE629" i="4" s="1"/>
  <c r="CC665" i="4"/>
  <c r="CE665" i="4" s="1"/>
  <c r="CC646" i="4"/>
  <c r="CE646" i="4" s="1"/>
  <c r="CC621" i="4"/>
  <c r="CE621" i="4" s="1"/>
  <c r="CC615" i="4"/>
  <c r="CE615" i="4" s="1"/>
  <c r="CC678" i="4"/>
  <c r="CE678" i="4" s="1"/>
  <c r="CC666" i="4"/>
  <c r="CE666" i="4" s="1"/>
  <c r="CC693" i="4"/>
  <c r="CE693" i="4" s="1"/>
  <c r="CC655" i="4"/>
  <c r="CE655" i="4" s="1"/>
  <c r="CC688" i="4"/>
  <c r="CE688" i="4" s="1"/>
  <c r="CC680" i="4"/>
  <c r="CE680" i="4" s="1"/>
  <c r="CC671" i="4"/>
  <c r="CE671" i="4" s="1"/>
  <c r="CC645" i="4"/>
  <c r="CE645" i="4" s="1"/>
  <c r="CC689" i="4"/>
  <c r="CE689" i="4" s="1"/>
  <c r="CC664" i="4"/>
  <c r="CE664" i="4" s="1"/>
  <c r="CC623" i="4"/>
  <c r="CE623" i="4" s="1"/>
  <c r="CC642" i="4"/>
  <c r="CE642" i="4" s="1"/>
  <c r="CC659" i="4"/>
  <c r="CE659" i="4" s="1"/>
  <c r="CC690" i="4"/>
  <c r="CE690" i="4" s="1"/>
  <c r="CC632" i="4"/>
  <c r="CE632" i="4" s="1"/>
  <c r="CC676" i="4"/>
  <c r="CE676" i="4" s="1"/>
  <c r="CC657" i="4"/>
  <c r="CE657" i="4" s="1"/>
  <c r="CC618" i="4"/>
  <c r="CE618" i="4" s="1"/>
  <c r="CB456" i="4"/>
  <c r="BR58" i="1"/>
  <c r="BR62" i="1"/>
  <c r="BR32" i="1"/>
  <c r="BR38" i="1"/>
  <c r="BR60" i="1"/>
  <c r="CB581" i="4"/>
  <c r="BS54" i="1"/>
  <c r="BS21" i="1"/>
  <c r="BS9" i="1"/>
  <c r="BT19" i="1"/>
  <c r="BT6" i="1"/>
  <c r="BT43" i="1"/>
  <c r="BT40" i="1"/>
  <c r="BT37" i="1"/>
  <c r="BT35" i="1"/>
  <c r="BT11" i="1"/>
  <c r="BT53" i="1"/>
  <c r="BQ31" i="1"/>
  <c r="BQ53" i="1"/>
  <c r="BQ20" i="1"/>
  <c r="BS36" i="1"/>
  <c r="BS34" i="1"/>
  <c r="BS33" i="1"/>
  <c r="BS12" i="1"/>
  <c r="BS10" i="1"/>
  <c r="BS46" i="1"/>
  <c r="BS45" i="1"/>
  <c r="BS37" i="1"/>
  <c r="BR17" i="1"/>
  <c r="BR30" i="1"/>
  <c r="BR27" i="1"/>
  <c r="BR21" i="1"/>
  <c r="BR16" i="1"/>
  <c r="BR15" i="1"/>
  <c r="BR14" i="1"/>
  <c r="BR51" i="1"/>
  <c r="BR10" i="1"/>
  <c r="BR50" i="1"/>
  <c r="BR18" i="1"/>
  <c r="BT59" i="1"/>
  <c r="BT52" i="1"/>
  <c r="BT50" i="1"/>
  <c r="BT38" i="1"/>
  <c r="BT34" i="1"/>
  <c r="BT26" i="1"/>
  <c r="BT23" i="1"/>
  <c r="BT22" i="1"/>
  <c r="BQ58" i="1"/>
  <c r="BS24" i="1"/>
  <c r="BS22" i="1"/>
  <c r="BS43" i="1"/>
  <c r="BS19" i="1"/>
  <c r="BS42" i="1"/>
  <c r="BS18" i="1"/>
  <c r="BS13" i="1"/>
  <c r="BS31" i="1"/>
  <c r="BS7" i="1"/>
  <c r="BS30" i="1"/>
  <c r="BS6" i="1"/>
  <c r="BS25" i="1"/>
  <c r="BT46" i="1"/>
  <c r="BT41" i="1"/>
  <c r="BT64" i="1"/>
  <c r="BT62" i="1"/>
  <c r="BT58" i="1"/>
  <c r="BT47" i="1"/>
  <c r="BT10" i="1"/>
  <c r="BR28" i="1"/>
  <c r="BR9" i="1"/>
  <c r="BR8" i="1"/>
  <c r="BR26" i="1"/>
  <c r="BR6" i="1"/>
  <c r="BR22" i="1"/>
  <c r="BR5" i="1"/>
  <c r="BR3" i="1"/>
  <c r="BR63" i="1"/>
  <c r="BR20" i="1"/>
  <c r="BR2" i="1"/>
  <c r="BQ64" i="1"/>
  <c r="BQ36" i="1"/>
  <c r="BQ35" i="1"/>
  <c r="BQ46" i="1"/>
  <c r="BQ11" i="1"/>
  <c r="BQ10" i="1"/>
  <c r="BQ47" i="1"/>
  <c r="BQ22" i="1"/>
  <c r="BQ17" i="1"/>
  <c r="BQ16" i="1"/>
  <c r="BQ40" i="1"/>
  <c r="BQ14" i="1"/>
  <c r="BQ65" i="1"/>
  <c r="BQ38" i="1"/>
  <c r="BQ13" i="1"/>
  <c r="BQ37" i="1"/>
  <c r="BQ12" i="1"/>
  <c r="BQ54" i="1"/>
  <c r="BQ34" i="1"/>
  <c r="BQ5" i="1"/>
  <c r="BQ50" i="1"/>
  <c r="BQ28" i="1"/>
  <c r="BQ4" i="1"/>
  <c r="BQ49" i="1"/>
  <c r="BQ26" i="1"/>
  <c r="BQ2" i="1"/>
  <c r="BQ48" i="1"/>
  <c r="BQ23" i="1"/>
  <c r="BQ57" i="1"/>
  <c r="BQ45" i="1"/>
  <c r="BQ33" i="1"/>
  <c r="BQ21" i="1"/>
  <c r="BQ9" i="1"/>
  <c r="BR61" i="1"/>
  <c r="BR49" i="1"/>
  <c r="BR37" i="1"/>
  <c r="BR25" i="1"/>
  <c r="BR13" i="1"/>
  <c r="BS65" i="1"/>
  <c r="BS53" i="1"/>
  <c r="BS41" i="1"/>
  <c r="BS29" i="1"/>
  <c r="BS17" i="1"/>
  <c r="BS5" i="1"/>
  <c r="BT57" i="1"/>
  <c r="BT45" i="1"/>
  <c r="BT33" i="1"/>
  <c r="BT21" i="1"/>
  <c r="BT9" i="1"/>
  <c r="BE53" i="1"/>
  <c r="BM53" i="1" s="1"/>
  <c r="BQ56" i="1"/>
  <c r="BQ44" i="1"/>
  <c r="BQ32" i="1"/>
  <c r="BR48" i="1"/>
  <c r="BR36" i="1"/>
  <c r="BR24" i="1"/>
  <c r="BR12" i="1"/>
  <c r="BS64" i="1"/>
  <c r="BS52" i="1"/>
  <c r="BS40" i="1"/>
  <c r="BS16" i="1"/>
  <c r="BS4" i="1"/>
  <c r="BT56" i="1"/>
  <c r="BT44" i="1"/>
  <c r="BT32" i="1"/>
  <c r="BT20" i="1"/>
  <c r="BT8" i="1"/>
  <c r="BQ55" i="1"/>
  <c r="BQ43" i="1"/>
  <c r="BQ19" i="1"/>
  <c r="BQ7" i="1"/>
  <c r="BR59" i="1"/>
  <c r="BR35" i="1"/>
  <c r="BR23" i="1"/>
  <c r="BS63" i="1"/>
  <c r="BS27" i="1"/>
  <c r="BS15" i="1"/>
  <c r="BS3" i="1"/>
  <c r="BT55" i="1"/>
  <c r="BT31" i="1"/>
  <c r="BT7" i="1"/>
  <c r="BE63" i="1"/>
  <c r="BQ30" i="1"/>
  <c r="BQ18" i="1"/>
  <c r="BQ6" i="1"/>
  <c r="BR46" i="1"/>
  <c r="BR34" i="1"/>
  <c r="BS62" i="1"/>
  <c r="BS38" i="1"/>
  <c r="BS26" i="1"/>
  <c r="BS14" i="1"/>
  <c r="BS2" i="1"/>
  <c r="BT54" i="1"/>
  <c r="BT30" i="1"/>
  <c r="BT18" i="1"/>
  <c r="BE62" i="1"/>
  <c r="BM62" i="1" s="1"/>
  <c r="BQ29" i="1"/>
  <c r="BR57" i="1"/>
  <c r="BR45" i="1"/>
  <c r="BR33" i="1"/>
  <c r="BT65" i="1"/>
  <c r="BT29" i="1"/>
  <c r="BT17" i="1"/>
  <c r="BT5" i="1"/>
  <c r="BE61" i="1"/>
  <c r="BM61" i="1" s="1"/>
  <c r="BR56" i="1"/>
  <c r="BR44" i="1"/>
  <c r="BS48" i="1"/>
  <c r="BT28" i="1"/>
  <c r="BT16" i="1"/>
  <c r="BT4" i="1"/>
  <c r="BQ63" i="1"/>
  <c r="BQ51" i="1"/>
  <c r="BQ39" i="1"/>
  <c r="BQ27" i="1"/>
  <c r="BQ15" i="1"/>
  <c r="BQ3" i="1"/>
  <c r="BR55" i="1"/>
  <c r="BR43" i="1"/>
  <c r="BR31" i="1"/>
  <c r="BR19" i="1"/>
  <c r="BR7" i="1"/>
  <c r="BS47" i="1"/>
  <c r="BS35" i="1"/>
  <c r="BS23" i="1"/>
  <c r="BS11" i="1"/>
  <c r="BT63" i="1"/>
  <c r="BT51" i="1"/>
  <c r="BT39" i="1"/>
  <c r="BT27" i="1"/>
  <c r="BT15" i="1"/>
  <c r="BT3" i="1"/>
  <c r="BQ62" i="1"/>
  <c r="BR54" i="1"/>
  <c r="BR42" i="1"/>
  <c r="BT14" i="1"/>
  <c r="BT2" i="1"/>
  <c r="BE58" i="1"/>
  <c r="BM58" i="1" s="1"/>
  <c r="BQ61" i="1"/>
  <c r="BQ25" i="1"/>
  <c r="BR65" i="1"/>
  <c r="BR53" i="1"/>
  <c r="BR41" i="1"/>
  <c r="BR29" i="1"/>
  <c r="BS57" i="1"/>
  <c r="BT49" i="1"/>
  <c r="BT25" i="1"/>
  <c r="BT13" i="1"/>
  <c r="BQ60" i="1"/>
  <c r="BQ24" i="1"/>
  <c r="BR64" i="1"/>
  <c r="BR52" i="1"/>
  <c r="BR40" i="1"/>
  <c r="BR4" i="1"/>
  <c r="BS56" i="1"/>
  <c r="BS44" i="1"/>
  <c r="BS32" i="1"/>
  <c r="BS20" i="1"/>
  <c r="BS8" i="1"/>
  <c r="BT60" i="1"/>
  <c r="BT48" i="1"/>
  <c r="BT36" i="1"/>
  <c r="BT24" i="1"/>
  <c r="BT12" i="1"/>
  <c r="BU63" i="1"/>
  <c r="BU15" i="1"/>
  <c r="BU39" i="1"/>
  <c r="BU51" i="1"/>
  <c r="BU27" i="1"/>
  <c r="BM2" i="1"/>
  <c r="BM56" i="1"/>
  <c r="BM44" i="1"/>
  <c r="BM32" i="1"/>
  <c r="BM20" i="1"/>
  <c r="BM8" i="1"/>
  <c r="BU60" i="1"/>
  <c r="BU48" i="1"/>
  <c r="BU36" i="1"/>
  <c r="BU24" i="1"/>
  <c r="BU12" i="1"/>
  <c r="BM38" i="1"/>
  <c r="BM14" i="1"/>
  <c r="BM50" i="1"/>
  <c r="BM26" i="1"/>
  <c r="BM34" i="1"/>
  <c r="BM10" i="1"/>
  <c r="BM57" i="1"/>
  <c r="BM45" i="1"/>
  <c r="BM33" i="1"/>
  <c r="BM21" i="1"/>
  <c r="BM9" i="1"/>
  <c r="BM63" i="1"/>
  <c r="BM51" i="1"/>
  <c r="BM39" i="1"/>
  <c r="BM27" i="1"/>
  <c r="BM15" i="1"/>
  <c r="BM3" i="1"/>
  <c r="BM22" i="1"/>
  <c r="BM46" i="1"/>
  <c r="BU54" i="1"/>
  <c r="BU18" i="1"/>
  <c r="BU42" i="1"/>
  <c r="BU30" i="1"/>
  <c r="BU6" i="1"/>
  <c r="BM64" i="1"/>
  <c r="BM52" i="1"/>
  <c r="BM40" i="1"/>
  <c r="BM28" i="1"/>
  <c r="BM16" i="1"/>
  <c r="BM4" i="1"/>
  <c r="BU57" i="1"/>
  <c r="BU45" i="1"/>
  <c r="BM43" i="1"/>
  <c r="BM7" i="1"/>
  <c r="BU47" i="1"/>
  <c r="BU11" i="1"/>
  <c r="BM54" i="1"/>
  <c r="BM30" i="1"/>
  <c r="BM18" i="1"/>
  <c r="BU46" i="1"/>
  <c r="BU22" i="1"/>
  <c r="BU62" i="1"/>
  <c r="BU38" i="1"/>
  <c r="BM65" i="1"/>
  <c r="BM41" i="1"/>
  <c r="BM29" i="1"/>
  <c r="BM17" i="1"/>
  <c r="BM5" i="1"/>
  <c r="BU61" i="1"/>
  <c r="BU49" i="1"/>
  <c r="BU37" i="1"/>
  <c r="BU25" i="1"/>
  <c r="BU13" i="1"/>
  <c r="BM25" i="1"/>
  <c r="BU29" i="1"/>
  <c r="BM37" i="1"/>
  <c r="BU65" i="1"/>
  <c r="BU41" i="1"/>
  <c r="BM60" i="1"/>
  <c r="BM36" i="1"/>
  <c r="BM12" i="1"/>
  <c r="BU52" i="1"/>
  <c r="BU28" i="1"/>
  <c r="BU4" i="1"/>
  <c r="BU56" i="1"/>
  <c r="BU32" i="1"/>
  <c r="BU20" i="1"/>
  <c r="BU8" i="1"/>
  <c r="BM49" i="1"/>
  <c r="BM13" i="1"/>
  <c r="BU53" i="1"/>
  <c r="BU17" i="1"/>
  <c r="BM48" i="1"/>
  <c r="BM24" i="1"/>
  <c r="BU64" i="1"/>
  <c r="BU40" i="1"/>
  <c r="BU16" i="1"/>
  <c r="BU44" i="1"/>
  <c r="BM59" i="1"/>
  <c r="BM47" i="1"/>
  <c r="BM35" i="1"/>
  <c r="BM23" i="1"/>
  <c r="BM11" i="1"/>
  <c r="BU3" i="1"/>
  <c r="BU55" i="1"/>
  <c r="BU43" i="1"/>
  <c r="BU31" i="1"/>
  <c r="BU19" i="1"/>
  <c r="BU7" i="1"/>
  <c r="BM31" i="1"/>
  <c r="BU35" i="1"/>
  <c r="BM55" i="1"/>
  <c r="BM19" i="1"/>
  <c r="BU59" i="1"/>
  <c r="BU23" i="1"/>
  <c r="BM42" i="1"/>
  <c r="BM6" i="1"/>
  <c r="BU58" i="1"/>
  <c r="BU34" i="1"/>
  <c r="BU10" i="1"/>
  <c r="BU50" i="1"/>
  <c r="BU26" i="1"/>
  <c r="BU2" i="1"/>
  <c r="BV58" i="1" l="1"/>
  <c r="BX58" i="1" s="1"/>
  <c r="CA58" i="1" s="1"/>
  <c r="BV21" i="1"/>
  <c r="BV45" i="1"/>
  <c r="BV26" i="1"/>
  <c r="BV50" i="1"/>
  <c r="BX50" i="1" s="1"/>
  <c r="CA50" i="1" s="1"/>
  <c r="BV37" i="1"/>
  <c r="BV40" i="1"/>
  <c r="BX40" i="1" s="1"/>
  <c r="CA40" i="1" s="1"/>
  <c r="BV6" i="1"/>
  <c r="BX6" i="1" s="1"/>
  <c r="CA6" i="1" s="1"/>
  <c r="CC456" i="4"/>
  <c r="CE456" i="4" s="1"/>
  <c r="CC581" i="4"/>
  <c r="CE581" i="4" s="1"/>
  <c r="CB97" i="4"/>
  <c r="CB499" i="4"/>
  <c r="CB388" i="4"/>
  <c r="CB64" i="4"/>
  <c r="CB530" i="4"/>
  <c r="CB46" i="4"/>
  <c r="CB473" i="4"/>
  <c r="CB602" i="4"/>
  <c r="CB240" i="4"/>
  <c r="CB101" i="4"/>
  <c r="CB597" i="4"/>
  <c r="BV42" i="1"/>
  <c r="BX42" i="1" s="1"/>
  <c r="CA42" i="1" s="1"/>
  <c r="BV59" i="1"/>
  <c r="BX59" i="1" s="1"/>
  <c r="CA59" i="1" s="1"/>
  <c r="BV10" i="1"/>
  <c r="BX10" i="1" s="1"/>
  <c r="CA10" i="1" s="1"/>
  <c r="BV33" i="1"/>
  <c r="BV34" i="1"/>
  <c r="BV38" i="1"/>
  <c r="BV22" i="1"/>
  <c r="CB498" i="4"/>
  <c r="CB366" i="4"/>
  <c r="CB210" i="4"/>
  <c r="CB573" i="4"/>
  <c r="CB55" i="4"/>
  <c r="BV56" i="1"/>
  <c r="BX56" i="1" s="1"/>
  <c r="CA56" i="1" s="1"/>
  <c r="BV41" i="1"/>
  <c r="BX41" i="1" s="1"/>
  <c r="CA41" i="1" s="1"/>
  <c r="BV64" i="1"/>
  <c r="BX64" i="1" s="1"/>
  <c r="CA64" i="1" s="1"/>
  <c r="BV11" i="1"/>
  <c r="BX11" i="1" s="1"/>
  <c r="CA11" i="1" s="1"/>
  <c r="BV19" i="1"/>
  <c r="BX19" i="1" s="1"/>
  <c r="CA19" i="1" s="1"/>
  <c r="BV53" i="1"/>
  <c r="BX53" i="1" s="1"/>
  <c r="CA53" i="1" s="1"/>
  <c r="BV9" i="1"/>
  <c r="BV62" i="1"/>
  <c r="BX62" i="1" s="1"/>
  <c r="CA62" i="1" s="1"/>
  <c r="BV61" i="1"/>
  <c r="BX61" i="1" s="1"/>
  <c r="CA61" i="1" s="1"/>
  <c r="BV57" i="1"/>
  <c r="BX57" i="1" s="1"/>
  <c r="CA57" i="1" s="1"/>
  <c r="BV30" i="1"/>
  <c r="BX30" i="1" s="1"/>
  <c r="CA30" i="1" s="1"/>
  <c r="BV55" i="1"/>
  <c r="BX55" i="1" s="1"/>
  <c r="CA55" i="1" s="1"/>
  <c r="BV47" i="1"/>
  <c r="BX47" i="1" s="1"/>
  <c r="CA47" i="1" s="1"/>
  <c r="BV43" i="1"/>
  <c r="BX43" i="1" s="1"/>
  <c r="CA43" i="1" s="1"/>
  <c r="BV18" i="1"/>
  <c r="BX18" i="1" s="1"/>
  <c r="CA18" i="1" s="1"/>
  <c r="BV17" i="1"/>
  <c r="BX17" i="1" s="1"/>
  <c r="CA17" i="1" s="1"/>
  <c r="BV31" i="1"/>
  <c r="BX31" i="1" s="1"/>
  <c r="CA31" i="1" s="1"/>
  <c r="BV14" i="1"/>
  <c r="BV7" i="1"/>
  <c r="BX7" i="1" s="1"/>
  <c r="CA7" i="1" s="1"/>
  <c r="BV2" i="1"/>
  <c r="BX2" i="1" s="1"/>
  <c r="BV60" i="1"/>
  <c r="BX60" i="1" s="1"/>
  <c r="CA60" i="1" s="1"/>
  <c r="BV16" i="1"/>
  <c r="BX16" i="1" s="1"/>
  <c r="CA16" i="1" s="1"/>
  <c r="BV3" i="1"/>
  <c r="BX3" i="1" s="1"/>
  <c r="CA3" i="1" s="1"/>
  <c r="BV13" i="1"/>
  <c r="BX13" i="1" s="1"/>
  <c r="CA13" i="1" s="1"/>
  <c r="BV54" i="1"/>
  <c r="BX54" i="1" s="1"/>
  <c r="CA54" i="1" s="1"/>
  <c r="BV36" i="1"/>
  <c r="BX36" i="1" s="1"/>
  <c r="CA36" i="1" s="1"/>
  <c r="BV5" i="1"/>
  <c r="BV28" i="1"/>
  <c r="BX28" i="1" s="1"/>
  <c r="CA28" i="1" s="1"/>
  <c r="BV27" i="1"/>
  <c r="BX27" i="1" s="1"/>
  <c r="CA27" i="1" s="1"/>
  <c r="BX26" i="1"/>
  <c r="CA26" i="1" s="1"/>
  <c r="BV4" i="1"/>
  <c r="BX4" i="1" s="1"/>
  <c r="CA4" i="1" s="1"/>
  <c r="BV12" i="1"/>
  <c r="BX12" i="1" s="1"/>
  <c r="CA12" i="1" s="1"/>
  <c r="BV49" i="1"/>
  <c r="BX49" i="1" s="1"/>
  <c r="CA49" i="1" s="1"/>
  <c r="BV25" i="1"/>
  <c r="BX25" i="1" s="1"/>
  <c r="CA25" i="1" s="1"/>
  <c r="BV65" i="1"/>
  <c r="BX65" i="1" s="1"/>
  <c r="CA65" i="1" s="1"/>
  <c r="BV24" i="1"/>
  <c r="BX24" i="1" s="1"/>
  <c r="CA24" i="1" s="1"/>
  <c r="BV46" i="1"/>
  <c r="BX46" i="1" s="1"/>
  <c r="CA46" i="1" s="1"/>
  <c r="BV8" i="1"/>
  <c r="BX8" i="1" s="1"/>
  <c r="CA8" i="1" s="1"/>
  <c r="BV20" i="1"/>
  <c r="BX20" i="1" s="1"/>
  <c r="CA20" i="1" s="1"/>
  <c r="BV35" i="1"/>
  <c r="BX35" i="1" s="1"/>
  <c r="CA35" i="1" s="1"/>
  <c r="BV23" i="1"/>
  <c r="BX23" i="1" s="1"/>
  <c r="CA23" i="1" s="1"/>
  <c r="BV32" i="1"/>
  <c r="BX32" i="1" s="1"/>
  <c r="CA32" i="1" s="1"/>
  <c r="BV29" i="1"/>
  <c r="BX29" i="1" s="1"/>
  <c r="CA29" i="1" s="1"/>
  <c r="BV52" i="1"/>
  <c r="BX52" i="1" s="1"/>
  <c r="CA52" i="1" s="1"/>
  <c r="BV44" i="1"/>
  <c r="BX44" i="1" s="1"/>
  <c r="CA44" i="1" s="1"/>
  <c r="BX45" i="1"/>
  <c r="CA45" i="1" s="1"/>
  <c r="BX38" i="1"/>
  <c r="CA38" i="1" s="1"/>
  <c r="BX37" i="1"/>
  <c r="CA37" i="1" s="1"/>
  <c r="BX34" i="1"/>
  <c r="CA34" i="1" s="1"/>
  <c r="BX22" i="1"/>
  <c r="CA22" i="1" s="1"/>
  <c r="BO15" i="1"/>
  <c r="BP15" i="1" s="1"/>
  <c r="BV15" i="1"/>
  <c r="BX15" i="1" s="1"/>
  <c r="CA15" i="1" s="1"/>
  <c r="BO39" i="1"/>
  <c r="BP39" i="1" s="1"/>
  <c r="BV39" i="1"/>
  <c r="BX39" i="1" s="1"/>
  <c r="CA39" i="1" s="1"/>
  <c r="BO51" i="1"/>
  <c r="BP51" i="1" s="1"/>
  <c r="BV51" i="1"/>
  <c r="BX51" i="1" s="1"/>
  <c r="CA51" i="1" s="1"/>
  <c r="BO63" i="1"/>
  <c r="BP63" i="1" s="1"/>
  <c r="BV63" i="1"/>
  <c r="BX63" i="1" s="1"/>
  <c r="CA63" i="1" s="1"/>
  <c r="BO48" i="1"/>
  <c r="BP48" i="1" s="1"/>
  <c r="BV48" i="1"/>
  <c r="BX48" i="1" s="1"/>
  <c r="CA48" i="1" s="1"/>
  <c r="BO27" i="1"/>
  <c r="BP27" i="1" s="1"/>
  <c r="BO21" i="1"/>
  <c r="BP21" i="1" s="1"/>
  <c r="BU21" i="1"/>
  <c r="BO33" i="1"/>
  <c r="BP33" i="1" s="1"/>
  <c r="BU33" i="1"/>
  <c r="BO9" i="1"/>
  <c r="BP9" i="1" s="1"/>
  <c r="BU9" i="1"/>
  <c r="BO5" i="1"/>
  <c r="BP5" i="1" s="1"/>
  <c r="BU5" i="1"/>
  <c r="BO14" i="1"/>
  <c r="BP14" i="1" s="1"/>
  <c r="BU14" i="1"/>
  <c r="BO2" i="1"/>
  <c r="BP2" i="1" s="1"/>
  <c r="BO8" i="1"/>
  <c r="BP8" i="1" s="1"/>
  <c r="BO20" i="1"/>
  <c r="BP20" i="1" s="1"/>
  <c r="BO12" i="1"/>
  <c r="BP12" i="1" s="1"/>
  <c r="BO26" i="1"/>
  <c r="BP26" i="1" s="1"/>
  <c r="BO32" i="1"/>
  <c r="BP32" i="1" s="1"/>
  <c r="BO56" i="1"/>
  <c r="BP56" i="1" s="1"/>
  <c r="BO44" i="1"/>
  <c r="BP44" i="1" s="1"/>
  <c r="BO24" i="1"/>
  <c r="BP24" i="1" s="1"/>
  <c r="BO60" i="1"/>
  <c r="BP60" i="1" s="1"/>
  <c r="BO36" i="1"/>
  <c r="BP36" i="1" s="1"/>
  <c r="BO38" i="1"/>
  <c r="BP38" i="1" s="1"/>
  <c r="BO62" i="1"/>
  <c r="BP62" i="1" s="1"/>
  <c r="BO50" i="1"/>
  <c r="BP50" i="1" s="1"/>
  <c r="BO45" i="1"/>
  <c r="BP45" i="1" s="1"/>
  <c r="BO10" i="1"/>
  <c r="BP10" i="1" s="1"/>
  <c r="BO22" i="1"/>
  <c r="BP22" i="1" s="1"/>
  <c r="BO6" i="1"/>
  <c r="BP6" i="1" s="1"/>
  <c r="BO34" i="1"/>
  <c r="BP34" i="1" s="1"/>
  <c r="BO42" i="1"/>
  <c r="BP42" i="1" s="1"/>
  <c r="BO3" i="1"/>
  <c r="BP3" i="1" s="1"/>
  <c r="BO58" i="1"/>
  <c r="BP58" i="1" s="1"/>
  <c r="BO18" i="1"/>
  <c r="BP18" i="1" s="1"/>
  <c r="BO57" i="1"/>
  <c r="BP57" i="1" s="1"/>
  <c r="BO54" i="1"/>
  <c r="BP54" i="1" s="1"/>
  <c r="BO46" i="1"/>
  <c r="BP46" i="1" s="1"/>
  <c r="BO30" i="1"/>
  <c r="BP30" i="1" s="1"/>
  <c r="BO4" i="1"/>
  <c r="BP4" i="1" s="1"/>
  <c r="BO16" i="1"/>
  <c r="BP16" i="1" s="1"/>
  <c r="BO28" i="1"/>
  <c r="BP28" i="1" s="1"/>
  <c r="BO23" i="1"/>
  <c r="BP23" i="1" s="1"/>
  <c r="BO40" i="1"/>
  <c r="BP40" i="1" s="1"/>
  <c r="BO64" i="1"/>
  <c r="BP64" i="1" s="1"/>
  <c r="BO13" i="1"/>
  <c r="BP13" i="1" s="1"/>
  <c r="BO52" i="1"/>
  <c r="BP52" i="1" s="1"/>
  <c r="BO35" i="1"/>
  <c r="BP35" i="1" s="1"/>
  <c r="BO29" i="1"/>
  <c r="BP29" i="1" s="1"/>
  <c r="BO19" i="1"/>
  <c r="BP19" i="1" s="1"/>
  <c r="BO17" i="1"/>
  <c r="BP17" i="1" s="1"/>
  <c r="BO49" i="1"/>
  <c r="BP49" i="1" s="1"/>
  <c r="BO55" i="1"/>
  <c r="BP55" i="1" s="1"/>
  <c r="BO7" i="1"/>
  <c r="BP7" i="1" s="1"/>
  <c r="BO25" i="1"/>
  <c r="BP25" i="1" s="1"/>
  <c r="BO31" i="1"/>
  <c r="BP31" i="1" s="1"/>
  <c r="BO43" i="1"/>
  <c r="BP43" i="1" s="1"/>
  <c r="BO61" i="1"/>
  <c r="BP61" i="1" s="1"/>
  <c r="BO59" i="1"/>
  <c r="BP59" i="1" s="1"/>
  <c r="BO41" i="1"/>
  <c r="BP41" i="1" s="1"/>
  <c r="BO11" i="1"/>
  <c r="BP11" i="1" s="1"/>
  <c r="BO37" i="1"/>
  <c r="BP37" i="1" s="1"/>
  <c r="BO53" i="1"/>
  <c r="BP53" i="1" s="1"/>
  <c r="BO65" i="1"/>
  <c r="BP65" i="1" s="1"/>
  <c r="BO47" i="1"/>
  <c r="BP47" i="1" s="1"/>
  <c r="BY2" i="1" l="1"/>
  <c r="CA2" i="1"/>
  <c r="BZ63" i="1"/>
  <c r="CB63" i="1" s="1"/>
  <c r="BZ55" i="1"/>
  <c r="CB55" i="1" s="1"/>
  <c r="BZ10" i="1"/>
  <c r="CB10" i="1" s="1"/>
  <c r="BZ43" i="1"/>
  <c r="CB43" i="1" s="1"/>
  <c r="BZ24" i="1"/>
  <c r="CB24" i="1" s="1"/>
  <c r="BZ65" i="1"/>
  <c r="CB65" i="1" s="1"/>
  <c r="BZ62" i="1"/>
  <c r="CB62" i="1" s="1"/>
  <c r="BZ15" i="1"/>
  <c r="CB15" i="1" s="1"/>
  <c r="BZ26" i="1"/>
  <c r="CB26" i="1" s="1"/>
  <c r="BZ11" i="1"/>
  <c r="CB11" i="1" s="1"/>
  <c r="BZ40" i="1"/>
  <c r="CB40" i="1" s="1"/>
  <c r="BZ45" i="1"/>
  <c r="CB45" i="1" s="1"/>
  <c r="BZ44" i="1"/>
  <c r="CB44" i="1" s="1"/>
  <c r="BZ60" i="1"/>
  <c r="CB60" i="1" s="1"/>
  <c r="BZ18" i="1"/>
  <c r="CB18" i="1" s="1"/>
  <c r="BZ42" i="1"/>
  <c r="CB42" i="1" s="1"/>
  <c r="BZ49" i="1"/>
  <c r="CB49" i="1" s="1"/>
  <c r="BZ4" i="1"/>
  <c r="CB4" i="1" s="1"/>
  <c r="BZ19" i="1"/>
  <c r="CB19" i="1" s="1"/>
  <c r="BZ6" i="1"/>
  <c r="CB6" i="1" s="1"/>
  <c r="BZ56" i="1"/>
  <c r="CB56" i="1" s="1"/>
  <c r="BZ52" i="1"/>
  <c r="CB52" i="1" s="1"/>
  <c r="BZ2" i="1"/>
  <c r="BZ50" i="1"/>
  <c r="CB50" i="1" s="1"/>
  <c r="BZ8" i="1"/>
  <c r="CB8" i="1" s="1"/>
  <c r="BZ25" i="1"/>
  <c r="CB25" i="1" s="1"/>
  <c r="BZ22" i="1"/>
  <c r="CB22" i="1" s="1"/>
  <c r="BZ34" i="1"/>
  <c r="CB34" i="1" s="1"/>
  <c r="BZ41" i="1"/>
  <c r="CB41" i="1" s="1"/>
  <c r="BZ54" i="1"/>
  <c r="CB54" i="1" s="1"/>
  <c r="BZ13" i="1"/>
  <c r="CB13" i="1" s="1"/>
  <c r="BZ16" i="1"/>
  <c r="CB16" i="1" s="1"/>
  <c r="BZ29" i="1"/>
  <c r="CB29" i="1" s="1"/>
  <c r="BZ7" i="1"/>
  <c r="CB7" i="1" s="1"/>
  <c r="BZ48" i="1"/>
  <c r="CB48" i="1" s="1"/>
  <c r="BZ47" i="1"/>
  <c r="CB47" i="1" s="1"/>
  <c r="BZ57" i="1"/>
  <c r="CB57" i="1" s="1"/>
  <c r="BZ12" i="1"/>
  <c r="CB12" i="1" s="1"/>
  <c r="BZ64" i="1"/>
  <c r="CB64" i="1" s="1"/>
  <c r="BZ37" i="1"/>
  <c r="CB37" i="1" s="1"/>
  <c r="BZ38" i="1"/>
  <c r="CB38" i="1" s="1"/>
  <c r="BZ20" i="1"/>
  <c r="CB20" i="1" s="1"/>
  <c r="BZ46" i="1"/>
  <c r="CB46" i="1" s="1"/>
  <c r="BZ51" i="1"/>
  <c r="CB51" i="1" s="1"/>
  <c r="BZ39" i="1"/>
  <c r="CB39" i="1" s="1"/>
  <c r="BZ53" i="1"/>
  <c r="CB53" i="1" s="1"/>
  <c r="BZ36" i="1"/>
  <c r="CB36" i="1" s="1"/>
  <c r="BZ3" i="1"/>
  <c r="CB3" i="1" s="1"/>
  <c r="BZ23" i="1"/>
  <c r="CB23" i="1" s="1"/>
  <c r="BZ31" i="1"/>
  <c r="CB31" i="1" s="1"/>
  <c r="BZ59" i="1"/>
  <c r="CB59" i="1" s="1"/>
  <c r="BZ30" i="1"/>
  <c r="CB30" i="1" s="1"/>
  <c r="BZ61" i="1"/>
  <c r="CB61" i="1" s="1"/>
  <c r="BZ27" i="1"/>
  <c r="CB27" i="1" s="1"/>
  <c r="BZ28" i="1"/>
  <c r="CB28" i="1" s="1"/>
  <c r="BZ58" i="1"/>
  <c r="CB58" i="1" s="1"/>
  <c r="BZ32" i="1"/>
  <c r="CB32" i="1" s="1"/>
  <c r="BZ35" i="1"/>
  <c r="CB35" i="1" s="1"/>
  <c r="BZ17" i="1"/>
  <c r="CB17" i="1" s="1"/>
  <c r="BX21" i="1"/>
  <c r="CA21" i="1" s="1"/>
  <c r="BX33" i="1"/>
  <c r="CA33" i="1" s="1"/>
  <c r="CC366" i="4"/>
  <c r="CE366" i="4" s="1"/>
  <c r="CC602" i="4"/>
  <c r="CE602" i="4" s="1"/>
  <c r="CC498" i="4"/>
  <c r="CE498" i="4" s="1"/>
  <c r="CC473" i="4"/>
  <c r="CE473" i="4" s="1"/>
  <c r="CC240" i="4"/>
  <c r="CE240" i="4" s="1"/>
  <c r="CC64" i="4"/>
  <c r="CE64" i="4" s="1"/>
  <c r="CC388" i="4"/>
  <c r="CE388" i="4" s="1"/>
  <c r="CC530" i="4"/>
  <c r="CE530" i="4" s="1"/>
  <c r="CC97" i="4"/>
  <c r="CE97" i="4" s="1"/>
  <c r="CC55" i="4"/>
  <c r="CE55" i="4" s="1"/>
  <c r="CC597" i="4"/>
  <c r="CE597" i="4" s="1"/>
  <c r="CC210" i="4"/>
  <c r="CE210" i="4" s="1"/>
  <c r="CC46" i="4"/>
  <c r="CE46" i="4" s="1"/>
  <c r="CC499" i="4"/>
  <c r="CE499" i="4" s="1"/>
  <c r="CC573" i="4"/>
  <c r="CE573" i="4" s="1"/>
  <c r="CC101" i="4"/>
  <c r="CE101" i="4" s="1"/>
  <c r="CB549" i="4"/>
  <c r="CB497" i="4"/>
  <c r="CB100" i="4"/>
  <c r="CB265" i="4"/>
  <c r="CB23" i="4"/>
  <c r="CB536" i="4"/>
  <c r="CB603" i="4"/>
  <c r="CB241" i="4"/>
  <c r="CB277" i="4"/>
  <c r="CB336" i="4"/>
  <c r="CB607" i="4"/>
  <c r="CB489" i="4"/>
  <c r="CB578" i="4"/>
  <c r="CB11" i="4"/>
  <c r="CB80" i="4"/>
  <c r="CB418" i="4"/>
  <c r="CB10" i="4"/>
  <c r="CB295" i="4"/>
  <c r="CB311" i="4"/>
  <c r="CB267" i="4"/>
  <c r="CB358" i="4"/>
  <c r="CB41" i="4"/>
  <c r="CB409" i="4"/>
  <c r="CB237" i="4"/>
  <c r="CB525" i="4"/>
  <c r="CB569" i="4"/>
  <c r="CB513" i="4"/>
  <c r="CB3" i="4"/>
  <c r="CB352" i="4"/>
  <c r="CB273" i="4"/>
  <c r="CB38" i="4"/>
  <c r="CB507" i="4"/>
  <c r="CB537" i="4"/>
  <c r="CB204" i="4"/>
  <c r="CB252" i="4"/>
  <c r="CB455" i="4"/>
  <c r="CB156" i="4"/>
  <c r="CB200" i="4"/>
  <c r="CB13" i="4"/>
  <c r="CB434" i="4"/>
  <c r="CB371" i="4"/>
  <c r="CB104" i="4"/>
  <c r="CB92" i="4"/>
  <c r="CB533" i="4"/>
  <c r="CB133" i="4"/>
  <c r="CB223" i="4"/>
  <c r="CB166" i="4"/>
  <c r="CB577" i="4"/>
  <c r="CB131" i="4"/>
  <c r="CB24" i="4"/>
  <c r="CB27" i="4"/>
  <c r="CB299" i="4"/>
  <c r="CB90" i="4"/>
  <c r="CB232" i="4"/>
  <c r="CB538" i="4"/>
  <c r="CB484" i="4"/>
  <c r="CB438" i="4"/>
  <c r="CB408" i="4"/>
  <c r="CB287" i="4"/>
  <c r="CB290" i="4"/>
  <c r="CB282" i="4"/>
  <c r="CB424" i="4"/>
  <c r="CB584" i="4"/>
  <c r="CB138" i="4"/>
  <c r="CB559" i="4"/>
  <c r="CB321" i="4"/>
  <c r="CB376" i="4"/>
  <c r="CB339" i="4"/>
  <c r="CB218" i="4"/>
  <c r="CB173" i="4"/>
  <c r="CB572" i="4"/>
  <c r="CB184" i="4"/>
  <c r="CB429" i="4"/>
  <c r="CB561" i="4"/>
  <c r="CB543" i="4"/>
  <c r="CB167" i="4"/>
  <c r="CB555" i="4"/>
  <c r="CB142" i="4"/>
  <c r="CB317" i="4"/>
  <c r="CB490" i="4"/>
  <c r="CB105" i="4"/>
  <c r="CB427" i="4"/>
  <c r="CB48" i="4"/>
  <c r="CB518" i="4"/>
  <c r="CB410" i="4"/>
  <c r="CB486" i="4"/>
  <c r="CB163" i="4"/>
  <c r="CB414" i="4"/>
  <c r="CB249" i="4"/>
  <c r="CB234" i="4"/>
  <c r="CB312" i="4"/>
  <c r="CB153" i="4"/>
  <c r="CB195" i="4"/>
  <c r="CB186" i="4"/>
  <c r="CB235" i="4"/>
  <c r="CB475" i="4"/>
  <c r="CB540" i="4"/>
  <c r="CB385" i="4"/>
  <c r="CB503" i="4"/>
  <c r="CB420" i="4"/>
  <c r="CB558" i="4"/>
  <c r="CB377" i="4"/>
  <c r="CB143" i="4"/>
  <c r="CB591" i="4"/>
  <c r="CB202" i="4"/>
  <c r="CB344" i="4"/>
  <c r="CB580" i="4"/>
  <c r="CB309" i="4"/>
  <c r="CB154" i="4"/>
  <c r="CB441" i="4"/>
  <c r="CB411" i="4"/>
  <c r="CB51" i="4"/>
  <c r="CB99" i="4"/>
  <c r="CB443" i="4"/>
  <c r="CB432" i="4"/>
  <c r="CB330" i="4"/>
  <c r="CB211" i="4"/>
  <c r="CB222" i="4"/>
  <c r="CB272" i="4"/>
  <c r="CB63" i="4"/>
  <c r="CB502" i="4"/>
  <c r="CB564" i="4"/>
  <c r="CB419" i="4"/>
  <c r="CB126" i="4"/>
  <c r="CB501" i="4"/>
  <c r="CB155" i="4"/>
  <c r="CB347" i="4"/>
  <c r="CB450" i="4"/>
  <c r="CB587" i="4"/>
  <c r="CB215" i="4"/>
  <c r="CB529" i="4"/>
  <c r="CB440" i="4"/>
  <c r="CB365" i="4"/>
  <c r="CB528" i="4"/>
  <c r="CB308" i="4"/>
  <c r="CB446" i="4"/>
  <c r="CB382" i="4"/>
  <c r="CB42" i="4"/>
  <c r="CB333" i="4"/>
  <c r="CB141" i="4"/>
  <c r="CB375" i="4"/>
  <c r="CB270" i="4"/>
  <c r="CB137" i="4"/>
  <c r="CB394" i="4"/>
  <c r="CB242" i="4"/>
  <c r="CB34" i="4"/>
  <c r="CB259" i="4"/>
  <c r="CB571" i="4"/>
  <c r="CB586" i="4"/>
  <c r="CB224" i="4"/>
  <c r="CB439" i="4"/>
  <c r="CB43" i="4"/>
  <c r="CB458" i="4"/>
  <c r="CB220" i="4"/>
  <c r="CB65" i="4"/>
  <c r="CB406" i="4"/>
  <c r="CB362" i="4"/>
  <c r="CB454" i="4"/>
  <c r="CB197" i="4"/>
  <c r="CB480" i="4"/>
  <c r="CB588" i="4"/>
  <c r="CB566" i="4"/>
  <c r="CB162" i="4"/>
  <c r="CB589" i="4"/>
  <c r="CB261" i="4"/>
  <c r="CB269" i="4"/>
  <c r="CB466" i="4"/>
  <c r="CB552" i="4"/>
  <c r="CB367" i="4"/>
  <c r="CB74" i="4"/>
  <c r="CB248" i="4"/>
  <c r="CB280" i="4"/>
  <c r="CB373" i="4"/>
  <c r="CB14" i="4"/>
  <c r="CB575" i="4"/>
  <c r="CB49" i="4"/>
  <c r="CB465" i="4"/>
  <c r="CB399" i="4"/>
  <c r="CB206" i="4"/>
  <c r="CB145" i="4"/>
  <c r="CB570" i="4"/>
  <c r="CB548" i="4"/>
  <c r="CB463" i="4"/>
  <c r="CB396" i="4"/>
  <c r="CB216" i="4"/>
  <c r="CB305" i="4"/>
  <c r="CB219" i="4"/>
  <c r="CB302" i="4"/>
  <c r="CB45" i="4"/>
  <c r="CB243" i="4"/>
  <c r="CB300" i="4"/>
  <c r="CB203" i="4"/>
  <c r="CB205" i="4"/>
  <c r="CB319" i="4"/>
  <c r="CB274" i="4"/>
  <c r="CB542" i="4"/>
  <c r="CB225" i="4"/>
  <c r="CB244" i="4"/>
  <c r="CB214" i="4"/>
  <c r="CB233" i="4"/>
  <c r="CB437" i="4"/>
  <c r="CB539" i="4"/>
  <c r="CB492" i="4"/>
  <c r="CB474" i="4"/>
  <c r="CB61" i="4"/>
  <c r="CB254" i="4"/>
  <c r="CB140" i="4"/>
  <c r="CB12" i="4"/>
  <c r="CB78" i="4"/>
  <c r="CB169" i="4"/>
  <c r="CB448" i="4"/>
  <c r="CB35" i="4"/>
  <c r="CB108" i="4"/>
  <c r="CB301" i="4"/>
  <c r="CB335" i="4"/>
  <c r="CB521" i="4"/>
  <c r="CB516" i="4"/>
  <c r="CB468" i="4"/>
  <c r="CB33" i="4"/>
  <c r="CB596" i="4"/>
  <c r="CB442" i="4"/>
  <c r="CB341" i="4"/>
  <c r="CB378" i="4"/>
  <c r="CB351" i="4"/>
  <c r="CB395" i="4"/>
  <c r="CB135" i="4"/>
  <c r="CB268" i="4"/>
  <c r="CB510" i="4"/>
  <c r="CB58" i="4"/>
  <c r="CB509" i="4"/>
  <c r="CB134" i="4"/>
  <c r="CB251" i="4"/>
  <c r="CB472" i="4"/>
  <c r="CB495" i="4"/>
  <c r="CB289" i="4"/>
  <c r="CB517" i="4"/>
  <c r="CB310" i="4"/>
  <c r="CB37" i="4"/>
  <c r="CB236" i="4"/>
  <c r="CB185" i="4"/>
  <c r="CB545" i="4"/>
  <c r="CB72" i="4"/>
  <c r="CB364" i="4"/>
  <c r="CB79" i="4"/>
  <c r="CB188" i="4"/>
  <c r="CB19" i="4"/>
  <c r="CB190" i="4"/>
  <c r="CB430" i="4"/>
  <c r="CB363" i="4"/>
  <c r="CB194" i="4"/>
  <c r="CB293" i="4"/>
  <c r="CB2" i="4"/>
  <c r="CB83" i="4"/>
  <c r="CB604" i="4"/>
  <c r="CB585" i="4"/>
  <c r="CB343" i="4"/>
  <c r="CB253" i="4"/>
  <c r="CB467" i="4"/>
  <c r="CB172" i="4"/>
  <c r="CB286" i="4"/>
  <c r="CB8" i="4"/>
  <c r="CB541" i="4"/>
  <c r="CB600" i="4"/>
  <c r="CB514" i="4"/>
  <c r="CB52" i="4"/>
  <c r="CB123" i="4"/>
  <c r="CB177" i="4"/>
  <c r="CB227" i="4"/>
  <c r="CB527" i="4"/>
  <c r="CB477" i="4"/>
  <c r="CB170" i="4"/>
  <c r="CB53" i="4"/>
  <c r="CB304" i="4"/>
  <c r="CB457" i="4"/>
  <c r="CB60" i="4"/>
  <c r="CB435" i="4"/>
  <c r="CB546" i="4"/>
  <c r="CB296" i="4"/>
  <c r="CB278" i="4"/>
  <c r="CB217" i="4"/>
  <c r="CB212" i="4"/>
  <c r="CB384" i="4"/>
  <c r="CB93" i="4"/>
  <c r="CB5" i="4"/>
  <c r="CB39" i="4"/>
  <c r="CB322" i="4"/>
  <c r="CB520" i="4"/>
  <c r="CB178" i="4"/>
  <c r="CB379" i="4"/>
  <c r="CB522" i="4"/>
  <c r="CB29" i="4"/>
  <c r="CB87" i="4"/>
  <c r="CB20" i="4"/>
  <c r="CB213" i="4"/>
  <c r="CB562" i="4"/>
  <c r="CB306" i="4"/>
  <c r="CB152" i="4"/>
  <c r="CB31" i="4"/>
  <c r="CB483" i="4"/>
  <c r="CB114" i="4"/>
  <c r="CB150" i="4"/>
  <c r="CB22" i="4"/>
  <c r="CB174" i="4"/>
  <c r="CB69" i="4"/>
  <c r="CB547" i="4"/>
  <c r="CB605" i="4"/>
  <c r="CB165" i="4"/>
  <c r="CB187" i="4"/>
  <c r="CB576" i="4"/>
  <c r="CB400" i="4"/>
  <c r="CB515" i="4"/>
  <c r="CB508" i="4"/>
  <c r="CB431" i="4"/>
  <c r="CB505" i="4"/>
  <c r="CB307" i="4"/>
  <c r="CB461" i="4"/>
  <c r="CB18" i="4"/>
  <c r="CB493" i="4"/>
  <c r="CB426" i="4"/>
  <c r="CB389" i="4"/>
  <c r="CB314" i="4"/>
  <c r="CB345" i="4"/>
  <c r="CB554" i="4"/>
  <c r="CB159" i="4"/>
  <c r="CB146" i="4"/>
  <c r="CB386" i="4"/>
  <c r="CB76" i="4"/>
  <c r="CB86" i="4"/>
  <c r="CB601" i="4"/>
  <c r="CB292" i="4"/>
  <c r="CB40" i="4"/>
  <c r="CB112" i="4"/>
  <c r="CB176" i="4"/>
  <c r="CB279" i="4"/>
  <c r="CB102" i="4"/>
  <c r="CB369" i="4"/>
  <c r="CB208" i="4"/>
  <c r="CB28" i="4"/>
  <c r="CB209" i="4"/>
  <c r="CB479" i="4"/>
  <c r="CB356" i="4"/>
  <c r="CB359" i="4"/>
  <c r="CB506" i="4"/>
  <c r="CB247" i="4"/>
  <c r="CB121" i="4"/>
  <c r="CB338" i="4"/>
  <c r="CB568" i="4"/>
  <c r="CB164" i="4"/>
  <c r="CB117" i="4"/>
  <c r="CB88" i="4"/>
  <c r="CB32" i="4"/>
  <c r="CB59" i="4"/>
  <c r="CB192" i="4"/>
  <c r="CB116" i="4"/>
  <c r="CB47" i="4"/>
  <c r="CB124" i="4"/>
  <c r="CB30" i="4"/>
  <c r="CB15" i="4"/>
  <c r="CB403" i="4"/>
  <c r="CB125" i="4"/>
  <c r="CB221" i="4"/>
  <c r="CB257" i="4"/>
  <c r="CB583" i="4"/>
  <c r="CB115" i="4"/>
  <c r="CB357" i="4"/>
  <c r="CB77" i="4"/>
  <c r="CB519" i="4"/>
  <c r="CB593" i="4"/>
  <c r="CB550" i="4"/>
  <c r="CB256" i="4"/>
  <c r="CB132" i="4"/>
  <c r="CB44" i="4"/>
  <c r="CB303" i="4"/>
  <c r="CB231" i="4"/>
  <c r="CB425" i="4"/>
  <c r="CB353" i="4"/>
  <c r="CB392" i="4"/>
  <c r="CB436" i="4"/>
  <c r="CB469" i="4"/>
  <c r="CB50" i="4"/>
  <c r="CB534" i="4"/>
  <c r="CB67" i="4"/>
  <c r="CB110" i="4"/>
  <c r="CB459" i="4"/>
  <c r="CB445" i="4"/>
  <c r="CB149" i="4"/>
  <c r="CB191" i="4"/>
  <c r="CB544" i="4"/>
  <c r="CB57" i="4"/>
  <c r="CB122" i="4"/>
  <c r="CB276" i="4"/>
  <c r="CB94" i="4"/>
  <c r="CB416" i="4"/>
  <c r="CB283" i="4"/>
  <c r="CB598" i="4"/>
  <c r="CB161" i="4"/>
  <c r="CB103" i="4"/>
  <c r="CB128" i="4"/>
  <c r="CB428" i="4"/>
  <c r="CB147" i="4"/>
  <c r="CB260" i="4"/>
  <c r="CB372" i="4"/>
  <c r="CB608" i="4"/>
  <c r="CB326" i="4"/>
  <c r="CB556" i="4"/>
  <c r="CB16" i="4"/>
  <c r="CB4" i="4"/>
  <c r="CB229" i="4"/>
  <c r="CB144" i="4"/>
  <c r="CB17" i="4"/>
  <c r="CB297" i="4"/>
  <c r="CB487" i="4"/>
  <c r="CB120" i="4"/>
  <c r="CB139" i="4"/>
  <c r="CB175" i="4"/>
  <c r="CB452" i="4"/>
  <c r="CB281" i="4"/>
  <c r="CB535" i="4"/>
  <c r="CB157" i="4"/>
  <c r="CB478" i="4"/>
  <c r="CB374" i="4"/>
  <c r="CB327" i="4"/>
  <c r="CB402" i="4"/>
  <c r="CB560" i="4"/>
  <c r="CB422" i="4"/>
  <c r="CB62" i="4"/>
  <c r="CB370" i="4"/>
  <c r="CB500" i="4"/>
  <c r="CB531" i="4"/>
  <c r="CB56" i="4"/>
  <c r="CB595" i="4"/>
  <c r="CB398" i="4"/>
  <c r="CB288" i="4"/>
  <c r="CB148" i="4"/>
  <c r="CB245" i="4"/>
  <c r="CB230" i="4"/>
  <c r="CB460" i="4"/>
  <c r="CB36" i="4"/>
  <c r="CB413" i="4"/>
  <c r="CB325" i="4"/>
  <c r="CB193" i="4"/>
  <c r="CB118" i="4"/>
  <c r="CB68" i="4"/>
  <c r="CB266" i="4"/>
  <c r="CB119" i="4"/>
  <c r="CB390" i="4"/>
  <c r="CB246" i="4"/>
  <c r="CB397" i="4"/>
  <c r="CB228" i="4"/>
  <c r="CB21" i="4"/>
  <c r="CB7" i="4"/>
  <c r="CB151" i="4"/>
  <c r="CB567" i="4"/>
  <c r="CB334" i="4"/>
  <c r="CB350" i="4"/>
  <c r="CB329" i="4"/>
  <c r="CB447" i="4"/>
  <c r="CB348" i="4"/>
  <c r="CB423" i="4"/>
  <c r="CB523" i="4"/>
  <c r="CB82" i="4"/>
  <c r="CB106" i="4"/>
  <c r="CB226" i="4"/>
  <c r="CB189" i="4"/>
  <c r="CB421" i="4"/>
  <c r="CB316" i="4"/>
  <c r="CB6" i="4"/>
  <c r="CB158" i="4"/>
  <c r="CB239" i="4"/>
  <c r="CB512" i="4"/>
  <c r="CB381" i="4"/>
  <c r="CB526" i="4"/>
  <c r="CB360" i="4"/>
  <c r="CB592" i="4"/>
  <c r="CB342" i="4"/>
  <c r="CB433" i="4"/>
  <c r="CB201" i="4"/>
  <c r="CB464" i="4"/>
  <c r="CB383" i="4"/>
  <c r="CB98" i="4"/>
  <c r="CB109" i="4"/>
  <c r="CB393" i="4"/>
  <c r="CB361" i="4"/>
  <c r="CB25" i="4"/>
  <c r="CB127" i="4"/>
  <c r="CB160" i="4"/>
  <c r="CB171" i="4"/>
  <c r="CB91" i="4"/>
  <c r="CB485" i="4"/>
  <c r="CB391" i="4"/>
  <c r="CB476" i="4"/>
  <c r="CB491" i="4"/>
  <c r="CB349" i="4"/>
  <c r="CB318" i="4"/>
  <c r="CB494" i="4"/>
  <c r="CB415" i="4"/>
  <c r="CB73" i="4"/>
  <c r="CB511" i="4"/>
  <c r="CB355" i="4"/>
  <c r="CB183" i="4"/>
  <c r="CB401" i="4"/>
  <c r="CB606" i="4"/>
  <c r="CB340" i="4"/>
  <c r="CB284" i="4"/>
  <c r="CB275" i="4"/>
  <c r="CB481" i="4"/>
  <c r="CB129" i="4"/>
  <c r="CB70" i="4"/>
  <c r="CB553" i="4"/>
  <c r="CB75" i="4"/>
  <c r="CB444" i="4"/>
  <c r="CB136" i="4"/>
  <c r="CB331" i="4"/>
  <c r="CB524" i="4"/>
  <c r="CB405" i="4"/>
  <c r="CB180" i="4"/>
  <c r="CB407" i="4"/>
  <c r="CB294" i="4"/>
  <c r="CB250" i="4"/>
  <c r="CB107" i="4"/>
  <c r="CB255" i="4"/>
  <c r="CB323" i="4"/>
  <c r="CB196" i="4"/>
  <c r="CB54" i="4"/>
  <c r="CB263" i="4"/>
  <c r="CB470" i="4"/>
  <c r="CB111" i="4"/>
  <c r="CB130" i="4"/>
  <c r="CB532" i="4"/>
  <c r="CB181" i="4"/>
  <c r="CB85" i="4"/>
  <c r="CB199" i="4"/>
  <c r="CB66" i="4"/>
  <c r="CB563" i="4"/>
  <c r="CB346" i="4"/>
  <c r="CB71" i="4"/>
  <c r="CB291" i="4"/>
  <c r="CB574" i="4"/>
  <c r="CB582" i="4"/>
  <c r="CB179" i="4"/>
  <c r="CB471" i="4"/>
  <c r="CB337" i="4"/>
  <c r="CB412" i="4"/>
  <c r="CB590" i="4"/>
  <c r="CB207" i="4"/>
  <c r="CB285" i="4"/>
  <c r="CB449" i="4"/>
  <c r="CB84" i="4"/>
  <c r="CB557" i="4"/>
  <c r="CB168" i="4"/>
  <c r="CB380" i="4"/>
  <c r="CB579" i="4"/>
  <c r="CB198" i="4"/>
  <c r="CB182" i="4"/>
  <c r="CB482" i="4"/>
  <c r="CB551" i="4"/>
  <c r="CB271" i="4"/>
  <c r="CB599" i="4"/>
  <c r="CB262" i="4"/>
  <c r="CB315" i="4"/>
  <c r="CB332" i="4"/>
  <c r="CB313" i="4"/>
  <c r="CB451" i="4"/>
  <c r="CB354" i="4"/>
  <c r="CB324" i="4"/>
  <c r="CB462" i="4"/>
  <c r="CB81" i="4"/>
  <c r="CB594" i="4"/>
  <c r="CB504" i="4"/>
  <c r="CB258" i="4"/>
  <c r="CB488" i="4"/>
  <c r="CB328" i="4"/>
  <c r="CB113" i="4"/>
  <c r="CB368" i="4"/>
  <c r="CB238" i="4"/>
  <c r="CB298" i="4"/>
  <c r="BX9" i="1"/>
  <c r="CA9" i="1" s="1"/>
  <c r="BY57" i="1"/>
  <c r="BX14" i="1"/>
  <c r="CA14" i="1" s="1"/>
  <c r="BY60" i="1"/>
  <c r="BY3" i="1"/>
  <c r="BX5" i="1"/>
  <c r="CA5" i="1" s="1"/>
  <c r="BY26" i="1"/>
  <c r="BY46" i="1"/>
  <c r="BY6" i="1"/>
  <c r="BY44" i="1"/>
  <c r="BY39" i="1"/>
  <c r="BY35" i="1"/>
  <c r="BY18" i="1"/>
  <c r="BY47" i="1"/>
  <c r="BY11" i="1"/>
  <c r="BY23" i="1"/>
  <c r="BY15" i="1"/>
  <c r="BY62" i="1"/>
  <c r="BY65" i="1"/>
  <c r="BY58" i="1"/>
  <c r="BY13" i="1"/>
  <c r="BY8" i="1"/>
  <c r="BY40" i="1"/>
  <c r="BY36" i="1"/>
  <c r="BY28" i="1"/>
  <c r="BY59" i="1"/>
  <c r="BY56" i="1"/>
  <c r="BY61" i="1"/>
  <c r="BY64" i="1"/>
  <c r="BY48" i="1"/>
  <c r="BY22" i="1"/>
  <c r="BY31" i="1"/>
  <c r="BY55" i="1"/>
  <c r="BY41" i="1"/>
  <c r="BY20" i="1"/>
  <c r="BY25" i="1"/>
  <c r="BY34" i="1"/>
  <c r="BY43" i="1"/>
  <c r="BY29" i="1"/>
  <c r="BY19" i="1"/>
  <c r="BY24" i="1"/>
  <c r="BY53" i="1"/>
  <c r="BY54" i="1"/>
  <c r="BY37" i="1"/>
  <c r="BY7" i="1"/>
  <c r="BY63" i="1"/>
  <c r="BY52" i="1"/>
  <c r="BY42" i="1"/>
  <c r="BY38" i="1"/>
  <c r="BY32" i="1"/>
  <c r="BY12" i="1"/>
  <c r="BY10" i="1"/>
  <c r="BY27" i="1"/>
  <c r="BY45" i="1"/>
  <c r="BY49" i="1"/>
  <c r="BY51" i="1"/>
  <c r="BY4" i="1"/>
  <c r="BY30" i="1"/>
  <c r="BY16" i="1"/>
  <c r="BY50" i="1"/>
  <c r="BY17" i="1"/>
  <c r="CB2" i="1" l="1"/>
  <c r="CA67" i="1"/>
  <c r="CC74" i="1"/>
  <c r="BZ33" i="1"/>
  <c r="CB33" i="1" s="1"/>
  <c r="BZ21" i="1"/>
  <c r="CB21" i="1" s="1"/>
  <c r="BZ14" i="1"/>
  <c r="CB14" i="1" s="1"/>
  <c r="BZ5" i="1"/>
  <c r="BY9" i="1"/>
  <c r="BZ9" i="1"/>
  <c r="CB9" i="1" s="1"/>
  <c r="BY33" i="1"/>
  <c r="BY21" i="1"/>
  <c r="CC199" i="4"/>
  <c r="CE199" i="4" s="1"/>
  <c r="CC230" i="4"/>
  <c r="CE230" i="4" s="1"/>
  <c r="CC59" i="4"/>
  <c r="CE59" i="4" s="1"/>
  <c r="CC87" i="4"/>
  <c r="CE87" i="4" s="1"/>
  <c r="CC596" i="4"/>
  <c r="CE596" i="4" s="1"/>
  <c r="CC571" i="4"/>
  <c r="CE571" i="4" s="1"/>
  <c r="CC51" i="4"/>
  <c r="CE51" i="4" s="1"/>
  <c r="CC299" i="4"/>
  <c r="CE299" i="4" s="1"/>
  <c r="CC494" i="4"/>
  <c r="CE494" i="4" s="1"/>
  <c r="CC246" i="4"/>
  <c r="CE246" i="4" s="1"/>
  <c r="CC297" i="4"/>
  <c r="CE297" i="4" s="1"/>
  <c r="CC191" i="4"/>
  <c r="CE191" i="4" s="1"/>
  <c r="CC32" i="4"/>
  <c r="CE32" i="4" s="1"/>
  <c r="CC76" i="4"/>
  <c r="CE76" i="4" s="1"/>
  <c r="CC174" i="4"/>
  <c r="CE174" i="4" s="1"/>
  <c r="CC278" i="4"/>
  <c r="CE278" i="4" s="1"/>
  <c r="CC364" i="4"/>
  <c r="CE364" i="4" s="1"/>
  <c r="CC503" i="4"/>
  <c r="CE503" i="4" s="1"/>
  <c r="CC543" i="4"/>
  <c r="CE543" i="4" s="1"/>
  <c r="CC27" i="4"/>
  <c r="CE27" i="4" s="1"/>
  <c r="CC513" i="4"/>
  <c r="CE513" i="4" s="1"/>
  <c r="CC100" i="4"/>
  <c r="CE100" i="4" s="1"/>
  <c r="CC462" i="4"/>
  <c r="CE462" i="4" s="1"/>
  <c r="CC182" i="4"/>
  <c r="CE182" i="4" s="1"/>
  <c r="CC337" i="4"/>
  <c r="CE337" i="4" s="1"/>
  <c r="CC181" i="4"/>
  <c r="CE181" i="4" s="1"/>
  <c r="CC294" i="4"/>
  <c r="CE294" i="4" s="1"/>
  <c r="CC481" i="4"/>
  <c r="CE481" i="4" s="1"/>
  <c r="CC318" i="4"/>
  <c r="CE318" i="4" s="1"/>
  <c r="CC393" i="4"/>
  <c r="CE393" i="4" s="1"/>
  <c r="CC512" i="4"/>
  <c r="CE512" i="4" s="1"/>
  <c r="CC348" i="4"/>
  <c r="CE348" i="4" s="1"/>
  <c r="CC390" i="4"/>
  <c r="CE390" i="4" s="1"/>
  <c r="CC148" i="4"/>
  <c r="CE148" i="4" s="1"/>
  <c r="CC327" i="4"/>
  <c r="CE327" i="4" s="1"/>
  <c r="CC17" i="4"/>
  <c r="CE17" i="4" s="1"/>
  <c r="CC128" i="4"/>
  <c r="CE128" i="4" s="1"/>
  <c r="CC149" i="4"/>
  <c r="CE149" i="4" s="1"/>
  <c r="CC231" i="4"/>
  <c r="CE231" i="4" s="1"/>
  <c r="CC257" i="4"/>
  <c r="CE257" i="4" s="1"/>
  <c r="CC88" i="4"/>
  <c r="CE88" i="4" s="1"/>
  <c r="CC28" i="4"/>
  <c r="CE28" i="4" s="1"/>
  <c r="CC386" i="4"/>
  <c r="CE386" i="4" s="1"/>
  <c r="CC505" i="4"/>
  <c r="CE505" i="4" s="1"/>
  <c r="CC22" i="4"/>
  <c r="CE22" i="4" s="1"/>
  <c r="CC522" i="4"/>
  <c r="CE522" i="4" s="1"/>
  <c r="CC296" i="4"/>
  <c r="CE296" i="4" s="1"/>
  <c r="CC123" i="4"/>
  <c r="CE123" i="4" s="1"/>
  <c r="CC604" i="4"/>
  <c r="CE604" i="4" s="1"/>
  <c r="CC72" i="4"/>
  <c r="CE72" i="4" s="1"/>
  <c r="CC509" i="4"/>
  <c r="CE509" i="4" s="1"/>
  <c r="CC468" i="4"/>
  <c r="CE468" i="4" s="1"/>
  <c r="CC254" i="4"/>
  <c r="CE254" i="4" s="1"/>
  <c r="CC319" i="4"/>
  <c r="CE319" i="4" s="1"/>
  <c r="CC548" i="4"/>
  <c r="CE548" i="4" s="1"/>
  <c r="CC74" i="4"/>
  <c r="CE74" i="4" s="1"/>
  <c r="CC454" i="4"/>
  <c r="CE454" i="4" s="1"/>
  <c r="CC34" i="4"/>
  <c r="CE34" i="4" s="1"/>
  <c r="CC528" i="4"/>
  <c r="CE528" i="4" s="1"/>
  <c r="CC564" i="4"/>
  <c r="CE564" i="4" s="1"/>
  <c r="CC441" i="4"/>
  <c r="CE441" i="4" s="1"/>
  <c r="CC385" i="4"/>
  <c r="CE385" i="4" s="1"/>
  <c r="CC486" i="4"/>
  <c r="CE486" i="4" s="1"/>
  <c r="CC561" i="4"/>
  <c r="CE561" i="4" s="1"/>
  <c r="CC424" i="4"/>
  <c r="CE424" i="4" s="1"/>
  <c r="CC24" i="4"/>
  <c r="CE24" i="4" s="1"/>
  <c r="CC200" i="4"/>
  <c r="CE200" i="4" s="1"/>
  <c r="CC569" i="4"/>
  <c r="CE569" i="4" s="1"/>
  <c r="CC11" i="4"/>
  <c r="CE11" i="4" s="1"/>
  <c r="CC497" i="4"/>
  <c r="CE497" i="4" s="1"/>
  <c r="CC415" i="4"/>
  <c r="CE415" i="4" s="1"/>
  <c r="CC147" i="4"/>
  <c r="CE147" i="4" s="1"/>
  <c r="CC86" i="4"/>
  <c r="CE86" i="4" s="1"/>
  <c r="CC343" i="4"/>
  <c r="CE343" i="4" s="1"/>
  <c r="CC12" i="4"/>
  <c r="CE12" i="4" s="1"/>
  <c r="CC446" i="4"/>
  <c r="CE446" i="4" s="1"/>
  <c r="CC420" i="4"/>
  <c r="CE420" i="4" s="1"/>
  <c r="CC138" i="4"/>
  <c r="CE138" i="4" s="1"/>
  <c r="CC129" i="4"/>
  <c r="CE129" i="4" s="1"/>
  <c r="CC381" i="4"/>
  <c r="CE381" i="4" s="1"/>
  <c r="CC428" i="4"/>
  <c r="CE428" i="4" s="1"/>
  <c r="CC425" i="4"/>
  <c r="CE425" i="4" s="1"/>
  <c r="CC583" i="4"/>
  <c r="CE583" i="4" s="1"/>
  <c r="CC209" i="4"/>
  <c r="CE209" i="4" s="1"/>
  <c r="CC307" i="4"/>
  <c r="CE307" i="4" s="1"/>
  <c r="CC29" i="4"/>
  <c r="CE29" i="4" s="1"/>
  <c r="CC177" i="4"/>
  <c r="CE177" i="4" s="1"/>
  <c r="CC585" i="4"/>
  <c r="CE585" i="4" s="1"/>
  <c r="CC134" i="4"/>
  <c r="CE134" i="4" s="1"/>
  <c r="CC33" i="4"/>
  <c r="CE33" i="4" s="1"/>
  <c r="CC140" i="4"/>
  <c r="CE140" i="4" s="1"/>
  <c r="CC274" i="4"/>
  <c r="CE274" i="4" s="1"/>
  <c r="CC463" i="4"/>
  <c r="CE463" i="4" s="1"/>
  <c r="CC248" i="4"/>
  <c r="CE248" i="4" s="1"/>
  <c r="CC197" i="4"/>
  <c r="CE197" i="4" s="1"/>
  <c r="CC259" i="4"/>
  <c r="CE259" i="4" s="1"/>
  <c r="CC308" i="4"/>
  <c r="CE308" i="4" s="1"/>
  <c r="CC419" i="4"/>
  <c r="CE419" i="4" s="1"/>
  <c r="CC411" i="4"/>
  <c r="CE411" i="4" s="1"/>
  <c r="CC163" i="4"/>
  <c r="CE163" i="4" s="1"/>
  <c r="CC584" i="4"/>
  <c r="CE584" i="4" s="1"/>
  <c r="CC13" i="4"/>
  <c r="CE13" i="4" s="1"/>
  <c r="CC80" i="4"/>
  <c r="CE80" i="4" s="1"/>
  <c r="CC324" i="4"/>
  <c r="CE324" i="4" s="1"/>
  <c r="CC198" i="4"/>
  <c r="CE198" i="4" s="1"/>
  <c r="CC471" i="4"/>
  <c r="CE471" i="4" s="1"/>
  <c r="CC532" i="4"/>
  <c r="CE532" i="4" s="1"/>
  <c r="CC407" i="4"/>
  <c r="CE407" i="4" s="1"/>
  <c r="CC275" i="4"/>
  <c r="CE275" i="4" s="1"/>
  <c r="CC349" i="4"/>
  <c r="CE349" i="4" s="1"/>
  <c r="CC109" i="4"/>
  <c r="CE109" i="4" s="1"/>
  <c r="CC239" i="4"/>
  <c r="CE239" i="4" s="1"/>
  <c r="CC447" i="4"/>
  <c r="CE447" i="4" s="1"/>
  <c r="CC119" i="4"/>
  <c r="CE119" i="4" s="1"/>
  <c r="CC288" i="4"/>
  <c r="CE288" i="4" s="1"/>
  <c r="CC374" i="4"/>
  <c r="CE374" i="4" s="1"/>
  <c r="CC144" i="4"/>
  <c r="CE144" i="4" s="1"/>
  <c r="CC103" i="4"/>
  <c r="CE103" i="4" s="1"/>
  <c r="CC445" i="4"/>
  <c r="CE445" i="4" s="1"/>
  <c r="CC303" i="4"/>
  <c r="CE303" i="4" s="1"/>
  <c r="CC221" i="4"/>
  <c r="CE221" i="4" s="1"/>
  <c r="CC117" i="4"/>
  <c r="CE117" i="4" s="1"/>
  <c r="CC208" i="4"/>
  <c r="CE208" i="4" s="1"/>
  <c r="CC146" i="4"/>
  <c r="CE146" i="4" s="1"/>
  <c r="CC431" i="4"/>
  <c r="CE431" i="4" s="1"/>
  <c r="CC150" i="4"/>
  <c r="CE150" i="4" s="1"/>
  <c r="CC379" i="4"/>
  <c r="CE379" i="4" s="1"/>
  <c r="CC546" i="4"/>
  <c r="CE546" i="4" s="1"/>
  <c r="CC52" i="4"/>
  <c r="CE52" i="4" s="1"/>
  <c r="CC83" i="4"/>
  <c r="CE83" i="4" s="1"/>
  <c r="CC545" i="4"/>
  <c r="CE545" i="4" s="1"/>
  <c r="CC58" i="4"/>
  <c r="CE58" i="4" s="1"/>
  <c r="CC516" i="4"/>
  <c r="CE516" i="4" s="1"/>
  <c r="CC61" i="4"/>
  <c r="CE61" i="4" s="1"/>
  <c r="CC205" i="4"/>
  <c r="CE205" i="4" s="1"/>
  <c r="CC570" i="4"/>
  <c r="CE570" i="4" s="1"/>
  <c r="CC367" i="4"/>
  <c r="CE367" i="4" s="1"/>
  <c r="CC362" i="4"/>
  <c r="CE362" i="4" s="1"/>
  <c r="CC242" i="4"/>
  <c r="CE242" i="4" s="1"/>
  <c r="CC365" i="4"/>
  <c r="CE365" i="4" s="1"/>
  <c r="CC502" i="4"/>
  <c r="CE502" i="4" s="1"/>
  <c r="CC154" i="4"/>
  <c r="CE154" i="4" s="1"/>
  <c r="CC540" i="4"/>
  <c r="CE540" i="4" s="1"/>
  <c r="CC410" i="4"/>
  <c r="CE410" i="4" s="1"/>
  <c r="CC429" i="4"/>
  <c r="CE429" i="4" s="1"/>
  <c r="CC282" i="4"/>
  <c r="CE282" i="4" s="1"/>
  <c r="CC131" i="4"/>
  <c r="CE131" i="4" s="1"/>
  <c r="CC156" i="4"/>
  <c r="CE156" i="4" s="1"/>
  <c r="CC525" i="4"/>
  <c r="CE525" i="4" s="1"/>
  <c r="CC549" i="4"/>
  <c r="CE549" i="4" s="1"/>
  <c r="CC250" i="4"/>
  <c r="CE250" i="4" s="1"/>
  <c r="CC298" i="4"/>
  <c r="CE298" i="4" s="1"/>
  <c r="CC179" i="4"/>
  <c r="CE179" i="4" s="1"/>
  <c r="CC130" i="4"/>
  <c r="CE130" i="4" s="1"/>
  <c r="CC180" i="4"/>
  <c r="CE180" i="4" s="1"/>
  <c r="CC284" i="4"/>
  <c r="CE284" i="4" s="1"/>
  <c r="CC491" i="4"/>
  <c r="CE491" i="4" s="1"/>
  <c r="CC98" i="4"/>
  <c r="CE98" i="4" s="1"/>
  <c r="CC158" i="4"/>
  <c r="CE158" i="4" s="1"/>
  <c r="CC329" i="4"/>
  <c r="CE329" i="4" s="1"/>
  <c r="CC266" i="4"/>
  <c r="CE266" i="4" s="1"/>
  <c r="CC398" i="4"/>
  <c r="CE398" i="4" s="1"/>
  <c r="CC478" i="4"/>
  <c r="CE478" i="4" s="1"/>
  <c r="CC229" i="4"/>
  <c r="CE229" i="4" s="1"/>
  <c r="CC161" i="4"/>
  <c r="CE161" i="4" s="1"/>
  <c r="CC459" i="4"/>
  <c r="CE459" i="4" s="1"/>
  <c r="CC44" i="4"/>
  <c r="CE44" i="4" s="1"/>
  <c r="CC125" i="4"/>
  <c r="CE125" i="4" s="1"/>
  <c r="CC164" i="4"/>
  <c r="CE164" i="4" s="1"/>
  <c r="CC369" i="4"/>
  <c r="CE369" i="4" s="1"/>
  <c r="CC159" i="4"/>
  <c r="CE159" i="4" s="1"/>
  <c r="CC508" i="4"/>
  <c r="CE508" i="4" s="1"/>
  <c r="CC114" i="4"/>
  <c r="CE114" i="4" s="1"/>
  <c r="CC178" i="4"/>
  <c r="CE178" i="4" s="1"/>
  <c r="CC435" i="4"/>
  <c r="CE435" i="4" s="1"/>
  <c r="CC514" i="4"/>
  <c r="CE514" i="4" s="1"/>
  <c r="CC2" i="4"/>
  <c r="CE2" i="4" s="1"/>
  <c r="CC185" i="4"/>
  <c r="CE185" i="4" s="1"/>
  <c r="CC510" i="4"/>
  <c r="CE510" i="4" s="1"/>
  <c r="CC521" i="4"/>
  <c r="CE521" i="4" s="1"/>
  <c r="CC474" i="4"/>
  <c r="CE474" i="4" s="1"/>
  <c r="CC203" i="4"/>
  <c r="CE203" i="4" s="1"/>
  <c r="CC145" i="4"/>
  <c r="CE145" i="4" s="1"/>
  <c r="CC552" i="4"/>
  <c r="CE552" i="4" s="1"/>
  <c r="CC406" i="4"/>
  <c r="CE406" i="4" s="1"/>
  <c r="CC394" i="4"/>
  <c r="CE394" i="4" s="1"/>
  <c r="CC440" i="4"/>
  <c r="CE440" i="4" s="1"/>
  <c r="CC63" i="4"/>
  <c r="CE63" i="4" s="1"/>
  <c r="CC309" i="4"/>
  <c r="CE309" i="4" s="1"/>
  <c r="CC475" i="4"/>
  <c r="CE475" i="4" s="1"/>
  <c r="CC518" i="4"/>
  <c r="CE518" i="4" s="1"/>
  <c r="CC184" i="4"/>
  <c r="CE184" i="4" s="1"/>
  <c r="CC290" i="4"/>
  <c r="CE290" i="4" s="1"/>
  <c r="CC577" i="4"/>
  <c r="CE577" i="4" s="1"/>
  <c r="CC455" i="4"/>
  <c r="CE455" i="4" s="1"/>
  <c r="CC237" i="4"/>
  <c r="CE237" i="4" s="1"/>
  <c r="CC489" i="4"/>
  <c r="CE489" i="4" s="1"/>
  <c r="CC551" i="4"/>
  <c r="CE551" i="4" s="1"/>
  <c r="CC523" i="4"/>
  <c r="CE523" i="4" s="1"/>
  <c r="CC544" i="4"/>
  <c r="CE544" i="4" s="1"/>
  <c r="CC217" i="4"/>
  <c r="CE217" i="4" s="1"/>
  <c r="CC280" i="4"/>
  <c r="CE280" i="4" s="1"/>
  <c r="CC3" i="4"/>
  <c r="CE3" i="4" s="1"/>
  <c r="CC482" i="4"/>
  <c r="CE482" i="4" s="1"/>
  <c r="CC245" i="4"/>
  <c r="CE245" i="4" s="1"/>
  <c r="CC451" i="4"/>
  <c r="CE451" i="4" s="1"/>
  <c r="CC582" i="4"/>
  <c r="CE582" i="4" s="1"/>
  <c r="CC405" i="4"/>
  <c r="CE405" i="4" s="1"/>
  <c r="CC476" i="4"/>
  <c r="CE476" i="4" s="1"/>
  <c r="CC383" i="4"/>
  <c r="CE383" i="4" s="1"/>
  <c r="CC350" i="4"/>
  <c r="CE350" i="4" s="1"/>
  <c r="CC595" i="4"/>
  <c r="CE595" i="4" s="1"/>
  <c r="CC4" i="4"/>
  <c r="CE4" i="4" s="1"/>
  <c r="CC598" i="4"/>
  <c r="CE598" i="4" s="1"/>
  <c r="CC132" i="4"/>
  <c r="CE132" i="4" s="1"/>
  <c r="CC568" i="4"/>
  <c r="CE568" i="4" s="1"/>
  <c r="CC554" i="4"/>
  <c r="CE554" i="4" s="1"/>
  <c r="CC483" i="4"/>
  <c r="CE483" i="4" s="1"/>
  <c r="CC60" i="4"/>
  <c r="CE60" i="4" s="1"/>
  <c r="CC600" i="4"/>
  <c r="CE600" i="4" s="1"/>
  <c r="CC236" i="4"/>
  <c r="CE236" i="4" s="1"/>
  <c r="CC268" i="4"/>
  <c r="CE268" i="4" s="1"/>
  <c r="CC335" i="4"/>
  <c r="CE335" i="4" s="1"/>
  <c r="CC492" i="4"/>
  <c r="CE492" i="4" s="1"/>
  <c r="CC300" i="4"/>
  <c r="CE300" i="4" s="1"/>
  <c r="CC206" i="4"/>
  <c r="CE206" i="4" s="1"/>
  <c r="CC466" i="4"/>
  <c r="CE466" i="4" s="1"/>
  <c r="CC137" i="4"/>
  <c r="CE137" i="4" s="1"/>
  <c r="CC529" i="4"/>
  <c r="CE529" i="4" s="1"/>
  <c r="CC272" i="4"/>
  <c r="CE272" i="4" s="1"/>
  <c r="CC580" i="4"/>
  <c r="CE580" i="4" s="1"/>
  <c r="CC235" i="4"/>
  <c r="CE235" i="4" s="1"/>
  <c r="CC48" i="4"/>
  <c r="CE48" i="4" s="1"/>
  <c r="CC572" i="4"/>
  <c r="CE572" i="4" s="1"/>
  <c r="CC287" i="4"/>
  <c r="CE287" i="4" s="1"/>
  <c r="CC166" i="4"/>
  <c r="CE166" i="4" s="1"/>
  <c r="CC252" i="4"/>
  <c r="CE252" i="4" s="1"/>
  <c r="CC409" i="4"/>
  <c r="CE409" i="4" s="1"/>
  <c r="CC607" i="4"/>
  <c r="CE607" i="4" s="1"/>
  <c r="CC526" i="4"/>
  <c r="CE526" i="4" s="1"/>
  <c r="CC69" i="4"/>
  <c r="CE69" i="4" s="1"/>
  <c r="CC414" i="4"/>
  <c r="CE414" i="4" s="1"/>
  <c r="CC402" i="4"/>
  <c r="CE402" i="4" s="1"/>
  <c r="CC380" i="4"/>
  <c r="CE380" i="4" s="1"/>
  <c r="CC111" i="4"/>
  <c r="CE111" i="4" s="1"/>
  <c r="CC340" i="4"/>
  <c r="CE340" i="4" s="1"/>
  <c r="CC6" i="4"/>
  <c r="CE6" i="4" s="1"/>
  <c r="CC68" i="4"/>
  <c r="CE68" i="4" s="1"/>
  <c r="CC157" i="4"/>
  <c r="CE157" i="4" s="1"/>
  <c r="CC110" i="4"/>
  <c r="CE110" i="4" s="1"/>
  <c r="CC403" i="4"/>
  <c r="CE403" i="4" s="1"/>
  <c r="CC102" i="4"/>
  <c r="CE102" i="4" s="1"/>
  <c r="CC515" i="4"/>
  <c r="CE515" i="4" s="1"/>
  <c r="CC520" i="4"/>
  <c r="CE520" i="4" s="1"/>
  <c r="CC293" i="4"/>
  <c r="CE293" i="4" s="1"/>
  <c r="CC65" i="4"/>
  <c r="CE65" i="4" s="1"/>
  <c r="CC368" i="4"/>
  <c r="CE368" i="4" s="1"/>
  <c r="CC313" i="4"/>
  <c r="CE313" i="4" s="1"/>
  <c r="CC168" i="4"/>
  <c r="CE168" i="4" s="1"/>
  <c r="CC574" i="4"/>
  <c r="CE574" i="4" s="1"/>
  <c r="CC470" i="4"/>
  <c r="CE470" i="4" s="1"/>
  <c r="CC524" i="4"/>
  <c r="CE524" i="4" s="1"/>
  <c r="CC606" i="4"/>
  <c r="CE606" i="4" s="1"/>
  <c r="CC391" i="4"/>
  <c r="CE391" i="4" s="1"/>
  <c r="CC464" i="4"/>
  <c r="CE464" i="4" s="1"/>
  <c r="CC316" i="4"/>
  <c r="CE316" i="4" s="1"/>
  <c r="CC334" i="4"/>
  <c r="CE334" i="4" s="1"/>
  <c r="CC118" i="4"/>
  <c r="CE118" i="4" s="1"/>
  <c r="CC56" i="4"/>
  <c r="CE56" i="4" s="1"/>
  <c r="CC535" i="4"/>
  <c r="CE535" i="4" s="1"/>
  <c r="CC16" i="4"/>
  <c r="CE16" i="4" s="1"/>
  <c r="CC283" i="4"/>
  <c r="CE283" i="4" s="1"/>
  <c r="CC67" i="4"/>
  <c r="CE67" i="4" s="1"/>
  <c r="CC256" i="4"/>
  <c r="CE256" i="4" s="1"/>
  <c r="CC15" i="4"/>
  <c r="CE15" i="4" s="1"/>
  <c r="CC338" i="4"/>
  <c r="CE338" i="4" s="1"/>
  <c r="CC279" i="4"/>
  <c r="CE279" i="4" s="1"/>
  <c r="CC345" i="4"/>
  <c r="CE345" i="4" s="1"/>
  <c r="CC400" i="4"/>
  <c r="CE400" i="4" s="1"/>
  <c r="CC31" i="4"/>
  <c r="CE31" i="4" s="1"/>
  <c r="CC322" i="4"/>
  <c r="CE322" i="4" s="1"/>
  <c r="CC457" i="4"/>
  <c r="CE457" i="4" s="1"/>
  <c r="CC541" i="4"/>
  <c r="CE541" i="4" s="1"/>
  <c r="CC194" i="4"/>
  <c r="CE194" i="4" s="1"/>
  <c r="CC37" i="4"/>
  <c r="CE37" i="4" s="1"/>
  <c r="CC135" i="4"/>
  <c r="CE135" i="4" s="1"/>
  <c r="CC301" i="4"/>
  <c r="CE301" i="4" s="1"/>
  <c r="CC539" i="4"/>
  <c r="CE539" i="4" s="1"/>
  <c r="CC243" i="4"/>
  <c r="CE243" i="4" s="1"/>
  <c r="CC399" i="4"/>
  <c r="CE399" i="4" s="1"/>
  <c r="CC269" i="4"/>
  <c r="CE269" i="4" s="1"/>
  <c r="CC220" i="4"/>
  <c r="CE220" i="4" s="1"/>
  <c r="CC270" i="4"/>
  <c r="CE270" i="4" s="1"/>
  <c r="CC215" i="4"/>
  <c r="CE215" i="4" s="1"/>
  <c r="CC222" i="4"/>
  <c r="CE222" i="4" s="1"/>
  <c r="CC344" i="4"/>
  <c r="CE344" i="4" s="1"/>
  <c r="CC186" i="4"/>
  <c r="CE186" i="4" s="1"/>
  <c r="CC427" i="4"/>
  <c r="CE427" i="4" s="1"/>
  <c r="CC173" i="4"/>
  <c r="CE173" i="4" s="1"/>
  <c r="CC408" i="4"/>
  <c r="CE408" i="4" s="1"/>
  <c r="CC223" i="4"/>
  <c r="CE223" i="4" s="1"/>
  <c r="CC204" i="4"/>
  <c r="CE204" i="4" s="1"/>
  <c r="CC41" i="4"/>
  <c r="CE41" i="4" s="1"/>
  <c r="CC336" i="4"/>
  <c r="CE336" i="4" s="1"/>
  <c r="CC107" i="4"/>
  <c r="CE107" i="4" s="1"/>
  <c r="CC560" i="4"/>
  <c r="CE560" i="4" s="1"/>
  <c r="CC461" i="4"/>
  <c r="CE461" i="4" s="1"/>
  <c r="CC542" i="4"/>
  <c r="CE542" i="4" s="1"/>
  <c r="CC265" i="4"/>
  <c r="CE265" i="4" s="1"/>
  <c r="CC85" i="4"/>
  <c r="CE85" i="4" s="1"/>
  <c r="CC423" i="4"/>
  <c r="CE423" i="4" s="1"/>
  <c r="CC579" i="4"/>
  <c r="CE579" i="4" s="1"/>
  <c r="CC332" i="4"/>
  <c r="CE332" i="4" s="1"/>
  <c r="CC291" i="4"/>
  <c r="CE291" i="4" s="1"/>
  <c r="CC401" i="4"/>
  <c r="CE401" i="4" s="1"/>
  <c r="CC201" i="4"/>
  <c r="CE201" i="4" s="1"/>
  <c r="CC567" i="4"/>
  <c r="CE567" i="4" s="1"/>
  <c r="CC531" i="4"/>
  <c r="CE531" i="4" s="1"/>
  <c r="CC556" i="4"/>
  <c r="CE556" i="4" s="1"/>
  <c r="CC550" i="4"/>
  <c r="CE550" i="4" s="1"/>
  <c r="CC121" i="4"/>
  <c r="CE121" i="4" s="1"/>
  <c r="CC314" i="4"/>
  <c r="CE314" i="4" s="1"/>
  <c r="CC39" i="4"/>
  <c r="CE39" i="4" s="1"/>
  <c r="CC8" i="4"/>
  <c r="CE8" i="4" s="1"/>
  <c r="CC310" i="4"/>
  <c r="CE310" i="4" s="1"/>
  <c r="CC395" i="4"/>
  <c r="CE395" i="4" s="1"/>
  <c r="CC437" i="4"/>
  <c r="CE437" i="4" s="1"/>
  <c r="CC45" i="4"/>
  <c r="CE45" i="4" s="1"/>
  <c r="CC465" i="4"/>
  <c r="CE465" i="4" s="1"/>
  <c r="CC261" i="4"/>
  <c r="CE261" i="4" s="1"/>
  <c r="CC458" i="4"/>
  <c r="CE458" i="4" s="1"/>
  <c r="CC375" i="4"/>
  <c r="CE375" i="4" s="1"/>
  <c r="CC587" i="4"/>
  <c r="CE587" i="4" s="1"/>
  <c r="CC202" i="4"/>
  <c r="CE202" i="4" s="1"/>
  <c r="CC195" i="4"/>
  <c r="CE195" i="4" s="1"/>
  <c r="CC105" i="4"/>
  <c r="CE105" i="4" s="1"/>
  <c r="CC218" i="4"/>
  <c r="CE218" i="4" s="1"/>
  <c r="CC438" i="4"/>
  <c r="CE438" i="4" s="1"/>
  <c r="CC133" i="4"/>
  <c r="CE133" i="4" s="1"/>
  <c r="CC537" i="4"/>
  <c r="CE537" i="4" s="1"/>
  <c r="CC358" i="4"/>
  <c r="CE358" i="4" s="1"/>
  <c r="CC277" i="4"/>
  <c r="CE277" i="4" s="1"/>
  <c r="CC70" i="4"/>
  <c r="CE70" i="4" s="1"/>
  <c r="CC353" i="4"/>
  <c r="CE353" i="4" s="1"/>
  <c r="CC251" i="4"/>
  <c r="CE251" i="4" s="1"/>
  <c r="CC418" i="4"/>
  <c r="CE418" i="4" s="1"/>
  <c r="CC81" i="4"/>
  <c r="CE81" i="4" s="1"/>
  <c r="CC361" i="4"/>
  <c r="CE361" i="4" s="1"/>
  <c r="CC354" i="4"/>
  <c r="CE354" i="4" s="1"/>
  <c r="CC238" i="4"/>
  <c r="CE238" i="4" s="1"/>
  <c r="CC113" i="4"/>
  <c r="CE113" i="4" s="1"/>
  <c r="CC557" i="4"/>
  <c r="CE557" i="4" s="1"/>
  <c r="CC263" i="4"/>
  <c r="CE263" i="4" s="1"/>
  <c r="CC331" i="4"/>
  <c r="CE331" i="4" s="1"/>
  <c r="CC485" i="4"/>
  <c r="CE485" i="4" s="1"/>
  <c r="CC421" i="4"/>
  <c r="CE421" i="4" s="1"/>
  <c r="CC193" i="4"/>
  <c r="CE193" i="4" s="1"/>
  <c r="CC281" i="4"/>
  <c r="CE281" i="4" s="1"/>
  <c r="CC416" i="4"/>
  <c r="CE416" i="4" s="1"/>
  <c r="CC534" i="4"/>
  <c r="CE534" i="4" s="1"/>
  <c r="CC30" i="4"/>
  <c r="CE30" i="4" s="1"/>
  <c r="CC176" i="4"/>
  <c r="CE176" i="4" s="1"/>
  <c r="CC576" i="4"/>
  <c r="CE576" i="4" s="1"/>
  <c r="CC152" i="4"/>
  <c r="CE152" i="4" s="1"/>
  <c r="CC304" i="4"/>
  <c r="CE304" i="4" s="1"/>
  <c r="CC363" i="4"/>
  <c r="CE363" i="4" s="1"/>
  <c r="CC108" i="4"/>
  <c r="CE108" i="4" s="1"/>
  <c r="CC211" i="4"/>
  <c r="CE211" i="4" s="1"/>
  <c r="CC328" i="4"/>
  <c r="CE328" i="4" s="1"/>
  <c r="CC315" i="4"/>
  <c r="CE315" i="4" s="1"/>
  <c r="CC84" i="4"/>
  <c r="CE84" i="4" s="1"/>
  <c r="CC71" i="4"/>
  <c r="CE71" i="4" s="1"/>
  <c r="CC54" i="4"/>
  <c r="CE54" i="4" s="1"/>
  <c r="CC136" i="4"/>
  <c r="CE136" i="4" s="1"/>
  <c r="CC183" i="4"/>
  <c r="CE183" i="4" s="1"/>
  <c r="CC91" i="4"/>
  <c r="CE91" i="4" s="1"/>
  <c r="CC433" i="4"/>
  <c r="CE433" i="4" s="1"/>
  <c r="CC189" i="4"/>
  <c r="CE189" i="4" s="1"/>
  <c r="CC151" i="4"/>
  <c r="CE151" i="4" s="1"/>
  <c r="CC325" i="4"/>
  <c r="CE325" i="4" s="1"/>
  <c r="CC500" i="4"/>
  <c r="CE500" i="4" s="1"/>
  <c r="CC452" i="4"/>
  <c r="CE452" i="4" s="1"/>
  <c r="CC326" i="4"/>
  <c r="CE326" i="4" s="1"/>
  <c r="CC94" i="4"/>
  <c r="CE94" i="4" s="1"/>
  <c r="CC50" i="4"/>
  <c r="CE50" i="4" s="1"/>
  <c r="CC593" i="4"/>
  <c r="CE593" i="4" s="1"/>
  <c r="CC124" i="4"/>
  <c r="CE124" i="4" s="1"/>
  <c r="CC247" i="4"/>
  <c r="CE247" i="4" s="1"/>
  <c r="CC112" i="4"/>
  <c r="CE112" i="4" s="1"/>
  <c r="CC389" i="4"/>
  <c r="CE389" i="4" s="1"/>
  <c r="CC187" i="4"/>
  <c r="CE187" i="4" s="1"/>
  <c r="CC306" i="4"/>
  <c r="CE306" i="4" s="1"/>
  <c r="CC5" i="4"/>
  <c r="CE5" i="4" s="1"/>
  <c r="CC53" i="4"/>
  <c r="CE53" i="4" s="1"/>
  <c r="CC286" i="4"/>
  <c r="CE286" i="4" s="1"/>
  <c r="CC430" i="4"/>
  <c r="CE430" i="4" s="1"/>
  <c r="CC517" i="4"/>
  <c r="CE517" i="4" s="1"/>
  <c r="CC351" i="4"/>
  <c r="CE351" i="4" s="1"/>
  <c r="CC35" i="4"/>
  <c r="CE35" i="4" s="1"/>
  <c r="CC233" i="4"/>
  <c r="CE233" i="4" s="1"/>
  <c r="CC302" i="4"/>
  <c r="CE302" i="4" s="1"/>
  <c r="CC49" i="4"/>
  <c r="CE49" i="4" s="1"/>
  <c r="CC589" i="4"/>
  <c r="CE589" i="4" s="1"/>
  <c r="CC43" i="4"/>
  <c r="CE43" i="4" s="1"/>
  <c r="CC141" i="4"/>
  <c r="CE141" i="4" s="1"/>
  <c r="CC450" i="4"/>
  <c r="CE450" i="4" s="1"/>
  <c r="CC330" i="4"/>
  <c r="CE330" i="4" s="1"/>
  <c r="CC591" i="4"/>
  <c r="CE591" i="4" s="1"/>
  <c r="CC153" i="4"/>
  <c r="CE153" i="4" s="1"/>
  <c r="CC490" i="4"/>
  <c r="CE490" i="4" s="1"/>
  <c r="CC339" i="4"/>
  <c r="CE339" i="4" s="1"/>
  <c r="CC484" i="4"/>
  <c r="CE484" i="4" s="1"/>
  <c r="CC533" i="4"/>
  <c r="CE533" i="4" s="1"/>
  <c r="CC507" i="4"/>
  <c r="CE507" i="4" s="1"/>
  <c r="CC267" i="4"/>
  <c r="CE267" i="4" s="1"/>
  <c r="CC241" i="4"/>
  <c r="CE241" i="4" s="1"/>
  <c r="CC412" i="4"/>
  <c r="CE412" i="4" s="1"/>
  <c r="CC488" i="4"/>
  <c r="CE488" i="4" s="1"/>
  <c r="CC262" i="4"/>
  <c r="CE262" i="4" s="1"/>
  <c r="CC449" i="4"/>
  <c r="CE449" i="4" s="1"/>
  <c r="CC346" i="4"/>
  <c r="CE346" i="4" s="1"/>
  <c r="CC196" i="4"/>
  <c r="CE196" i="4" s="1"/>
  <c r="CC444" i="4"/>
  <c r="CE444" i="4" s="1"/>
  <c r="CC355" i="4"/>
  <c r="CE355" i="4" s="1"/>
  <c r="CC171" i="4"/>
  <c r="CE171" i="4" s="1"/>
  <c r="CC342" i="4"/>
  <c r="CE342" i="4" s="1"/>
  <c r="CC226" i="4"/>
  <c r="CE226" i="4" s="1"/>
  <c r="CC7" i="4"/>
  <c r="CE7" i="4" s="1"/>
  <c r="CC413" i="4"/>
  <c r="CE413" i="4" s="1"/>
  <c r="CC370" i="4"/>
  <c r="CE370" i="4" s="1"/>
  <c r="CC175" i="4"/>
  <c r="CE175" i="4" s="1"/>
  <c r="CC608" i="4"/>
  <c r="CE608" i="4" s="1"/>
  <c r="CC276" i="4"/>
  <c r="CE276" i="4" s="1"/>
  <c r="CC469" i="4"/>
  <c r="CE469" i="4" s="1"/>
  <c r="CC519" i="4"/>
  <c r="CE519" i="4" s="1"/>
  <c r="CC47" i="4"/>
  <c r="CE47" i="4" s="1"/>
  <c r="CC506" i="4"/>
  <c r="CE506" i="4" s="1"/>
  <c r="CC40" i="4"/>
  <c r="CE40" i="4" s="1"/>
  <c r="CC426" i="4"/>
  <c r="CE426" i="4" s="1"/>
  <c r="CC165" i="4"/>
  <c r="CE165" i="4" s="1"/>
  <c r="CC562" i="4"/>
  <c r="CE562" i="4" s="1"/>
  <c r="CC93" i="4"/>
  <c r="CE93" i="4" s="1"/>
  <c r="CC170" i="4"/>
  <c r="CE170" i="4" s="1"/>
  <c r="CC172" i="4"/>
  <c r="CE172" i="4" s="1"/>
  <c r="CC190" i="4"/>
  <c r="CE190" i="4" s="1"/>
  <c r="CC289" i="4"/>
  <c r="CE289" i="4" s="1"/>
  <c r="CC378" i="4"/>
  <c r="CE378" i="4" s="1"/>
  <c r="CC448" i="4"/>
  <c r="CE448" i="4" s="1"/>
  <c r="CC214" i="4"/>
  <c r="CE214" i="4" s="1"/>
  <c r="CC219" i="4"/>
  <c r="CE219" i="4" s="1"/>
  <c r="CC575" i="4"/>
  <c r="CE575" i="4" s="1"/>
  <c r="CC162" i="4"/>
  <c r="CE162" i="4" s="1"/>
  <c r="CC439" i="4"/>
  <c r="CE439" i="4" s="1"/>
  <c r="CC333" i="4"/>
  <c r="CE333" i="4" s="1"/>
  <c r="CC347" i="4"/>
  <c r="CE347" i="4" s="1"/>
  <c r="CC432" i="4"/>
  <c r="CE432" i="4" s="1"/>
  <c r="CC143" i="4"/>
  <c r="CE143" i="4" s="1"/>
  <c r="CC312" i="4"/>
  <c r="CE312" i="4" s="1"/>
  <c r="CC317" i="4"/>
  <c r="CE317" i="4" s="1"/>
  <c r="CC376" i="4"/>
  <c r="CE376" i="4" s="1"/>
  <c r="CC538" i="4"/>
  <c r="CE538" i="4" s="1"/>
  <c r="CC92" i="4"/>
  <c r="CE92" i="4" s="1"/>
  <c r="CC38" i="4"/>
  <c r="CE38" i="4" s="1"/>
  <c r="CC311" i="4"/>
  <c r="CE311" i="4" s="1"/>
  <c r="CC590" i="4"/>
  <c r="CE590" i="4" s="1"/>
  <c r="CC397" i="4"/>
  <c r="CE397" i="4" s="1"/>
  <c r="CC115" i="4"/>
  <c r="CE115" i="4" s="1"/>
  <c r="CC227" i="4"/>
  <c r="CE227" i="4" s="1"/>
  <c r="CC480" i="4"/>
  <c r="CE480" i="4" s="1"/>
  <c r="CC434" i="4"/>
  <c r="CE434" i="4" s="1"/>
  <c r="CC258" i="4"/>
  <c r="CE258" i="4" s="1"/>
  <c r="CC599" i="4"/>
  <c r="CE599" i="4" s="1"/>
  <c r="CC285" i="4"/>
  <c r="CE285" i="4" s="1"/>
  <c r="CC563" i="4"/>
  <c r="CE563" i="4" s="1"/>
  <c r="CC323" i="4"/>
  <c r="CE323" i="4" s="1"/>
  <c r="CC75" i="4"/>
  <c r="CE75" i="4" s="1"/>
  <c r="CC511" i="4"/>
  <c r="CE511" i="4" s="1"/>
  <c r="CC160" i="4"/>
  <c r="CE160" i="4" s="1"/>
  <c r="CC592" i="4"/>
  <c r="CE592" i="4" s="1"/>
  <c r="CC106" i="4"/>
  <c r="CE106" i="4" s="1"/>
  <c r="CC21" i="4"/>
  <c r="CE21" i="4" s="1"/>
  <c r="CC36" i="4"/>
  <c r="CE36" i="4" s="1"/>
  <c r="CC62" i="4"/>
  <c r="CE62" i="4" s="1"/>
  <c r="CC139" i="4"/>
  <c r="CE139" i="4" s="1"/>
  <c r="CC372" i="4"/>
  <c r="CE372" i="4" s="1"/>
  <c r="CC122" i="4"/>
  <c r="CE122" i="4" s="1"/>
  <c r="CC436" i="4"/>
  <c r="CE436" i="4" s="1"/>
  <c r="CC77" i="4"/>
  <c r="CE77" i="4" s="1"/>
  <c r="CC116" i="4"/>
  <c r="CE116" i="4" s="1"/>
  <c r="CC359" i="4"/>
  <c r="CE359" i="4" s="1"/>
  <c r="CC292" i="4"/>
  <c r="CE292" i="4" s="1"/>
  <c r="CC493" i="4"/>
  <c r="CE493" i="4" s="1"/>
  <c r="CC605" i="4"/>
  <c r="CE605" i="4" s="1"/>
  <c r="CC213" i="4"/>
  <c r="CE213" i="4" s="1"/>
  <c r="CC384" i="4"/>
  <c r="CE384" i="4" s="1"/>
  <c r="CC477" i="4"/>
  <c r="CE477" i="4" s="1"/>
  <c r="CC467" i="4"/>
  <c r="CE467" i="4" s="1"/>
  <c r="CC19" i="4"/>
  <c r="CE19" i="4" s="1"/>
  <c r="CC495" i="4"/>
  <c r="CE495" i="4" s="1"/>
  <c r="CC341" i="4"/>
  <c r="CE341" i="4" s="1"/>
  <c r="CC169" i="4"/>
  <c r="CE169" i="4" s="1"/>
  <c r="CC244" i="4"/>
  <c r="CE244" i="4" s="1"/>
  <c r="CC305" i="4"/>
  <c r="CE305" i="4" s="1"/>
  <c r="CC14" i="4"/>
  <c r="CE14" i="4" s="1"/>
  <c r="CC566" i="4"/>
  <c r="CE566" i="4" s="1"/>
  <c r="CC224" i="4"/>
  <c r="CE224" i="4" s="1"/>
  <c r="CC42" i="4"/>
  <c r="CE42" i="4" s="1"/>
  <c r="CC155" i="4"/>
  <c r="CE155" i="4" s="1"/>
  <c r="CC443" i="4"/>
  <c r="CE443" i="4" s="1"/>
  <c r="CC377" i="4"/>
  <c r="CE377" i="4" s="1"/>
  <c r="CC234" i="4"/>
  <c r="CE234" i="4" s="1"/>
  <c r="CC142" i="4"/>
  <c r="CE142" i="4" s="1"/>
  <c r="CC321" i="4"/>
  <c r="CE321" i="4" s="1"/>
  <c r="CC232" i="4"/>
  <c r="CE232" i="4" s="1"/>
  <c r="CC104" i="4"/>
  <c r="CE104" i="4" s="1"/>
  <c r="CC273" i="4"/>
  <c r="CE273" i="4" s="1"/>
  <c r="CC295" i="4"/>
  <c r="CE295" i="4" s="1"/>
  <c r="CC536" i="4"/>
  <c r="CE536" i="4" s="1"/>
  <c r="CC594" i="4"/>
  <c r="CE594" i="4" s="1"/>
  <c r="CC25" i="4"/>
  <c r="CE25" i="4" s="1"/>
  <c r="CC487" i="4"/>
  <c r="CE487" i="4" s="1"/>
  <c r="CC479" i="4"/>
  <c r="CE479" i="4" s="1"/>
  <c r="CC79" i="4"/>
  <c r="CE79" i="4" s="1"/>
  <c r="CC396" i="4"/>
  <c r="CE396" i="4" s="1"/>
  <c r="CC126" i="4"/>
  <c r="CE126" i="4" s="1"/>
  <c r="CC167" i="4"/>
  <c r="CE167" i="4" s="1"/>
  <c r="CC504" i="4"/>
  <c r="CE504" i="4" s="1"/>
  <c r="CC271" i="4"/>
  <c r="CE271" i="4" s="1"/>
  <c r="CC207" i="4"/>
  <c r="CE207" i="4" s="1"/>
  <c r="CC66" i="4"/>
  <c r="CE66" i="4" s="1"/>
  <c r="CC255" i="4"/>
  <c r="CE255" i="4" s="1"/>
  <c r="CC553" i="4"/>
  <c r="CE553" i="4" s="1"/>
  <c r="CC73" i="4"/>
  <c r="CE73" i="4" s="1"/>
  <c r="CC127" i="4"/>
  <c r="CE127" i="4" s="1"/>
  <c r="CC360" i="4"/>
  <c r="CE360" i="4" s="1"/>
  <c r="CC82" i="4"/>
  <c r="CE82" i="4" s="1"/>
  <c r="CC228" i="4"/>
  <c r="CE228" i="4" s="1"/>
  <c r="CC460" i="4"/>
  <c r="CE460" i="4" s="1"/>
  <c r="CC422" i="4"/>
  <c r="CE422" i="4" s="1"/>
  <c r="CC120" i="4"/>
  <c r="CE120" i="4" s="1"/>
  <c r="CC260" i="4"/>
  <c r="CE260" i="4" s="1"/>
  <c r="CC57" i="4"/>
  <c r="CE57" i="4" s="1"/>
  <c r="CC392" i="4"/>
  <c r="CE392" i="4" s="1"/>
  <c r="CC357" i="4"/>
  <c r="CE357" i="4" s="1"/>
  <c r="CC192" i="4"/>
  <c r="CE192" i="4" s="1"/>
  <c r="CC356" i="4"/>
  <c r="CE356" i="4" s="1"/>
  <c r="CC601" i="4"/>
  <c r="CE601" i="4" s="1"/>
  <c r="CC18" i="4"/>
  <c r="CE18" i="4" s="1"/>
  <c r="CC547" i="4"/>
  <c r="CE547" i="4" s="1"/>
  <c r="CC20" i="4"/>
  <c r="CE20" i="4" s="1"/>
  <c r="CC212" i="4"/>
  <c r="CE212" i="4" s="1"/>
  <c r="CC527" i="4"/>
  <c r="CE527" i="4" s="1"/>
  <c r="CC253" i="4"/>
  <c r="CE253" i="4" s="1"/>
  <c r="CC188" i="4"/>
  <c r="CE188" i="4" s="1"/>
  <c r="CC472" i="4"/>
  <c r="CE472" i="4" s="1"/>
  <c r="CC442" i="4"/>
  <c r="CE442" i="4" s="1"/>
  <c r="CC78" i="4"/>
  <c r="CE78" i="4" s="1"/>
  <c r="CC225" i="4"/>
  <c r="CE225" i="4" s="1"/>
  <c r="CC216" i="4"/>
  <c r="CE216" i="4" s="1"/>
  <c r="CC373" i="4"/>
  <c r="CE373" i="4" s="1"/>
  <c r="CC588" i="4"/>
  <c r="CE588" i="4" s="1"/>
  <c r="CC586" i="4"/>
  <c r="CE586" i="4" s="1"/>
  <c r="CC382" i="4"/>
  <c r="CE382" i="4" s="1"/>
  <c r="CC501" i="4"/>
  <c r="CE501" i="4" s="1"/>
  <c r="CC99" i="4"/>
  <c r="CE99" i="4" s="1"/>
  <c r="CC558" i="4"/>
  <c r="CE558" i="4" s="1"/>
  <c r="CC249" i="4"/>
  <c r="CE249" i="4" s="1"/>
  <c r="CC555" i="4"/>
  <c r="CE555" i="4" s="1"/>
  <c r="CC559" i="4"/>
  <c r="CE559" i="4" s="1"/>
  <c r="CC90" i="4"/>
  <c r="CE90" i="4" s="1"/>
  <c r="CC371" i="4"/>
  <c r="CE371" i="4" s="1"/>
  <c r="CC352" i="4"/>
  <c r="CE352" i="4" s="1"/>
  <c r="CC10" i="4"/>
  <c r="CE10" i="4" s="1"/>
  <c r="CC23" i="4"/>
  <c r="CE23" i="4" s="1"/>
  <c r="CC603" i="4"/>
  <c r="CE603" i="4" s="1"/>
  <c r="CC578" i="4"/>
  <c r="CE578" i="4" s="1"/>
  <c r="CB89" i="4"/>
  <c r="CB95" i="4"/>
  <c r="CB496" i="4"/>
  <c r="CB320" i="4"/>
  <c r="CB9" i="4"/>
  <c r="CB453" i="4"/>
  <c r="CB565" i="4"/>
  <c r="CB417" i="4"/>
  <c r="CB264" i="4"/>
  <c r="CB96" i="4"/>
  <c r="CB26" i="4"/>
  <c r="CB404" i="4"/>
  <c r="CB387" i="4"/>
  <c r="BY14" i="1"/>
  <c r="BY5" i="1"/>
  <c r="BZ67" i="1" l="1"/>
  <c r="CB5" i="1"/>
  <c r="CB67" i="1"/>
  <c r="CC78" i="1"/>
  <c r="CC77" i="1" s="1"/>
  <c r="CC32" i="1"/>
  <c r="CC55" i="1"/>
  <c r="CC64" i="1"/>
  <c r="CC72" i="1"/>
  <c r="CC73" i="1"/>
  <c r="CC76" i="1" s="1"/>
  <c r="CC9" i="1"/>
  <c r="CC80" i="1"/>
  <c r="CC81" i="1" s="1"/>
  <c r="CC27" i="1"/>
  <c r="CC10" i="1"/>
  <c r="CC24" i="1"/>
  <c r="CC42" i="1"/>
  <c r="CC56" i="1"/>
  <c r="CC38" i="1"/>
  <c r="CC5" i="1"/>
  <c r="CC2" i="1"/>
  <c r="CC49" i="1"/>
  <c r="CC14" i="1"/>
  <c r="CC16" i="1"/>
  <c r="CC31" i="1"/>
  <c r="CC4" i="1"/>
  <c r="CC58" i="1"/>
  <c r="CC17" i="1"/>
  <c r="CC34" i="1"/>
  <c r="CC23" i="1"/>
  <c r="CC26" i="1"/>
  <c r="CC39" i="1"/>
  <c r="CC22" i="1"/>
  <c r="CC45" i="1"/>
  <c r="CC30" i="1"/>
  <c r="CC51" i="1"/>
  <c r="CC46" i="1"/>
  <c r="CC35" i="1"/>
  <c r="CC15" i="1"/>
  <c r="CC61" i="1"/>
  <c r="CC19" i="1"/>
  <c r="CC18" i="1"/>
  <c r="CC37" i="1"/>
  <c r="CC20" i="1"/>
  <c r="CC25" i="1"/>
  <c r="CC8" i="1"/>
  <c r="CC11" i="1"/>
  <c r="CC62" i="1"/>
  <c r="CC60" i="1"/>
  <c r="CC50" i="1"/>
  <c r="CC48" i="1"/>
  <c r="CC41" i="1"/>
  <c r="CC29" i="1"/>
  <c r="CC63" i="1"/>
  <c r="CC52" i="1"/>
  <c r="CC43" i="1"/>
  <c r="CC47" i="1"/>
  <c r="CC40" i="1"/>
  <c r="CC3" i="1"/>
  <c r="CC6" i="1"/>
  <c r="CC13" i="1"/>
  <c r="CC36" i="1"/>
  <c r="CC21" i="1"/>
  <c r="CC28" i="1"/>
  <c r="CC59" i="1"/>
  <c r="CC65" i="1"/>
  <c r="CC54" i="1"/>
  <c r="CC44" i="1"/>
  <c r="CC7" i="1"/>
  <c r="CC33" i="1"/>
  <c r="CC57" i="1"/>
  <c r="CC12" i="1"/>
  <c r="CC53" i="1"/>
  <c r="CC96" i="4"/>
  <c r="CE96" i="4" s="1"/>
  <c r="CC264" i="4"/>
  <c r="CE264" i="4" s="1"/>
  <c r="CC417" i="4"/>
  <c r="CE417" i="4" s="1"/>
  <c r="CC453" i="4"/>
  <c r="CE453" i="4" s="1"/>
  <c r="CC26" i="4"/>
  <c r="CE26" i="4" s="1"/>
  <c r="CC404" i="4"/>
  <c r="CE404" i="4" s="1"/>
  <c r="CC565" i="4"/>
  <c r="CE565" i="4" s="1"/>
  <c r="CC320" i="4"/>
  <c r="CE320" i="4" s="1"/>
  <c r="CC496" i="4"/>
  <c r="CE496" i="4" s="1"/>
  <c r="CC9" i="4"/>
  <c r="CE9" i="4" s="1"/>
  <c r="CC95" i="4"/>
  <c r="CE95" i="4" s="1"/>
  <c r="CC387" i="4"/>
  <c r="CE387" i="4" s="1"/>
  <c r="CC89" i="4"/>
  <c r="CE89" i="4" s="1"/>
  <c r="CC75" i="1" l="1"/>
</calcChain>
</file>

<file path=xl/sharedStrings.xml><?xml version="1.0" encoding="utf-8"?>
<sst xmlns="http://schemas.openxmlformats.org/spreadsheetml/2006/main" count="7637" uniqueCount="187">
  <si>
    <t>parcel_id</t>
  </si>
  <si>
    <t>total_acres</t>
  </si>
  <si>
    <t>total_sqft</t>
  </si>
  <si>
    <t>unimproved_acres</t>
  </si>
  <si>
    <t>nbhd</t>
  </si>
  <si>
    <t>treated_as</t>
  </si>
  <si>
    <t>inspct_cycle</t>
  </si>
  <si>
    <t>prop_type</t>
  </si>
  <si>
    <t>prev_imp</t>
  </si>
  <si>
    <t>prev_land</t>
  </si>
  <si>
    <t>parcel_acres</t>
  </si>
  <si>
    <t>non_valued_acres</t>
  </si>
  <si>
    <t>unbuildable</t>
  </si>
  <si>
    <t>no_utilities</t>
  </si>
  <si>
    <t>coeff</t>
  </si>
  <si>
    <t>const</t>
  </si>
  <si>
    <t>land_extract</t>
  </si>
  <si>
    <t>bldg_style</t>
  </si>
  <si>
    <t>num_stories</t>
  </si>
  <si>
    <t>quality</t>
  </si>
  <si>
    <t>condition</t>
  </si>
  <si>
    <t>quality_rank</t>
  </si>
  <si>
    <t>condition_rank</t>
  </si>
  <si>
    <t>Eff_Age</t>
  </si>
  <si>
    <t>Age</t>
  </si>
  <si>
    <t>decade</t>
  </si>
  <si>
    <t>living_area_range</t>
  </si>
  <si>
    <t>living_area</t>
  </si>
  <si>
    <t>Main Floor</t>
  </si>
  <si>
    <t>Upper Floor</t>
  </si>
  <si>
    <t>Fin BSMT</t>
  </si>
  <si>
    <t>UnFin BSMT</t>
  </si>
  <si>
    <t>garage_sqft</t>
  </si>
  <si>
    <t>Carport</t>
  </si>
  <si>
    <t>Wood Deck</t>
  </si>
  <si>
    <t>Patio</t>
  </si>
  <si>
    <t>Plumbing Fixtures</t>
  </si>
  <si>
    <t>stove</t>
  </si>
  <si>
    <t>fireplace</t>
  </si>
  <si>
    <t>roofing</t>
  </si>
  <si>
    <t>heating</t>
  </si>
  <si>
    <t>heat_type</t>
  </si>
  <si>
    <t>fuel_type</t>
  </si>
  <si>
    <t>ac</t>
  </si>
  <si>
    <t>num_bedrooms</t>
  </si>
  <si>
    <t>crop_value</t>
  </si>
  <si>
    <t>detatched_value</t>
  </si>
  <si>
    <t>pct_complete</t>
  </si>
  <si>
    <t>sale_date</t>
  </si>
  <si>
    <t>assessed_land</t>
  </si>
  <si>
    <t>assessed_imp</t>
  </si>
  <si>
    <t>assessed_total</t>
  </si>
  <si>
    <t>sale_price</t>
  </si>
  <si>
    <t>days_prior_to_assessment</t>
  </si>
  <si>
    <t>GR</t>
  </si>
  <si>
    <t>RES</t>
  </si>
  <si>
    <t>RN</t>
  </si>
  <si>
    <t>A+</t>
  </si>
  <si>
    <t>EX</t>
  </si>
  <si>
    <t>CP</t>
  </si>
  <si>
    <t>FD</t>
  </si>
  <si>
    <t>G</t>
  </si>
  <si>
    <t>CO</t>
  </si>
  <si>
    <t>HP</t>
  </si>
  <si>
    <t>A</t>
  </si>
  <si>
    <t>E</t>
  </si>
  <si>
    <t>BG</t>
  </si>
  <si>
    <t>MH</t>
  </si>
  <si>
    <t>BH</t>
  </si>
  <si>
    <t>TD</t>
  </si>
  <si>
    <t>VG</t>
  </si>
  <si>
    <t>F+</t>
  </si>
  <si>
    <t>GD</t>
  </si>
  <si>
    <t>CU</t>
  </si>
  <si>
    <t>G+</t>
  </si>
  <si>
    <t>CL</t>
  </si>
  <si>
    <t>ER</t>
  </si>
  <si>
    <t>AV</t>
  </si>
  <si>
    <t>F</t>
  </si>
  <si>
    <t>FR</t>
  </si>
  <si>
    <t>FH</t>
  </si>
  <si>
    <t>MT</t>
  </si>
  <si>
    <t>PR</t>
  </si>
  <si>
    <t>SP</t>
  </si>
  <si>
    <t>Term</t>
  </si>
  <si>
    <t>Estimate</t>
  </si>
  <si>
    <t>Std Error</t>
  </si>
  <si>
    <t>t Ratio</t>
  </si>
  <si>
    <t>Prob&gt;|t|</t>
  </si>
  <si>
    <t>Intercept</t>
  </si>
  <si>
    <t>quality[F+-F]</t>
  </si>
  <si>
    <t>quality[A-F+]</t>
  </si>
  <si>
    <t>quality[A+-A]</t>
  </si>
  <si>
    <t>quality[G-A+]</t>
  </si>
  <si>
    <t>quality[G+-G]</t>
  </si>
  <si>
    <t>quality[E-G+]</t>
  </si>
  <si>
    <t>condition[FR-PR]</t>
  </si>
  <si>
    <t>condition[AV-FR]</t>
  </si>
  <si>
    <t>condition[GD-AV]</t>
  </si>
  <si>
    <t>condition[VG-GD]</t>
  </si>
  <si>
    <t>condition[EX-VG]</t>
  </si>
  <si>
    <t>Living_Area</t>
  </si>
  <si>
    <t>Days Prior To Assessment</t>
  </si>
  <si>
    <t>&lt;.0001</t>
  </si>
  <si>
    <t>V</t>
  </si>
  <si>
    <t>V+</t>
  </si>
  <si>
    <t>F-</t>
  </si>
  <si>
    <t>L</t>
  </si>
  <si>
    <t>SL</t>
  </si>
  <si>
    <t>VP</t>
  </si>
  <si>
    <t>land_value_1</t>
  </si>
  <si>
    <t>Age_value</t>
  </si>
  <si>
    <t>Living_Area_Value</t>
  </si>
  <si>
    <t>Garage_value</t>
  </si>
  <si>
    <t>Patio_Value</t>
  </si>
  <si>
    <t>Days_prior_adj</t>
  </si>
  <si>
    <t>predicted_land</t>
  </si>
  <si>
    <t>predicted_res</t>
  </si>
  <si>
    <t>predicted_det</t>
  </si>
  <si>
    <t>predicted_total</t>
  </si>
  <si>
    <t>predicted_ratio</t>
  </si>
  <si>
    <t>quality_value</t>
  </si>
  <si>
    <t>cond_value</t>
  </si>
  <si>
    <t>Row Labels</t>
  </si>
  <si>
    <t>Grand Total</t>
  </si>
  <si>
    <t>Average of predicted_ratio</t>
  </si>
  <si>
    <t>qual_adj</t>
  </si>
  <si>
    <t>cond_adj</t>
  </si>
  <si>
    <t>decade_adj</t>
  </si>
  <si>
    <t>living_range_adj</t>
  </si>
  <si>
    <t>final_land</t>
  </si>
  <si>
    <t>final_res</t>
  </si>
  <si>
    <t>final_det</t>
  </si>
  <si>
    <t>final_total</t>
  </si>
  <si>
    <t>Mean Ratio</t>
  </si>
  <si>
    <t>Weighted Mean Ratio</t>
  </si>
  <si>
    <t>final_ratio</t>
  </si>
  <si>
    <t>NULL</t>
  </si>
  <si>
    <t>AC</t>
  </si>
  <si>
    <t>OT</t>
  </si>
  <si>
    <t>SE</t>
  </si>
  <si>
    <t>SH</t>
  </si>
  <si>
    <t>NO</t>
  </si>
  <si>
    <t>N</t>
  </si>
  <si>
    <t>W</t>
  </si>
  <si>
    <t>O</t>
  </si>
  <si>
    <t>WS</t>
  </si>
  <si>
    <t>CA</t>
  </si>
  <si>
    <t>RR</t>
  </si>
  <si>
    <t>Assessment Rate</t>
  </si>
  <si>
    <t>final_imp</t>
  </si>
  <si>
    <t>E+</t>
  </si>
  <si>
    <t>X</t>
  </si>
  <si>
    <t>ln_acres</t>
  </si>
  <si>
    <t>addl_area</t>
  </si>
  <si>
    <t>att_gar</t>
  </si>
  <si>
    <t>blt_gar</t>
  </si>
  <si>
    <t>cover_por</t>
  </si>
  <si>
    <t>cover_sf</t>
  </si>
  <si>
    <t>phy_pct</t>
  </si>
  <si>
    <t>fun_pct</t>
  </si>
  <si>
    <t>econ_pct</t>
  </si>
  <si>
    <t>res_pct</t>
  </si>
  <si>
    <t>pre_res</t>
  </si>
  <si>
    <t>adj_res</t>
  </si>
  <si>
    <t>adj_land</t>
  </si>
  <si>
    <t>sum_land</t>
  </si>
  <si>
    <t>overall_adj</t>
  </si>
  <si>
    <t>min_land</t>
  </si>
  <si>
    <t>min_res</t>
  </si>
  <si>
    <t>land_value</t>
  </si>
  <si>
    <t>AGR</t>
  </si>
  <si>
    <t>Median Ratio</t>
  </si>
  <si>
    <t>SSE</t>
  </si>
  <si>
    <t>SSR</t>
  </si>
  <si>
    <t>ABS Deviation from Median</t>
  </si>
  <si>
    <t>Mean Sale Price</t>
  </si>
  <si>
    <t>Median Sale Price</t>
  </si>
  <si>
    <t># of Sales</t>
  </si>
  <si>
    <t>Coefficient of Dispersion (COD)</t>
  </si>
  <si>
    <t>Price Related Differential (PRD)</t>
  </si>
  <si>
    <t>Coefficient of Variation</t>
  </si>
  <si>
    <t>Standard Deviation</t>
  </si>
  <si>
    <t>R^2</t>
  </si>
  <si>
    <t>Standard Error of the Estimate (SEE)</t>
  </si>
  <si>
    <t>SEE/Mean SP</t>
  </si>
  <si>
    <t>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</si>
</sst>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#,##0"/>
    <numFmt numFmtId="166" formatCode="0.000%"/>
    <numFmt numFmtId="167" formatCode="0.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" fontId="0" fillId="0" borderId="0" xfId="0" applyNumberFormat="1"/>
    <xf numFmtId="3" fontId="0" fillId="0" borderId="0" xfId="0" applyNumberFormat="1"/>
    <xf numFmtId="1" fontId="4" fillId="0" borderId="0" xfId="0" applyNumberFormat="1" applyFont="1"/>
    <xf numFmtId="0" fontId="4" fillId="0" borderId="0" xfId="0" applyFont="1"/>
    <xf numFmtId="166" fontId="0" fillId="0" borderId="0" xfId="1" applyNumberFormat="1" applyFon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0" fontId="0" fillId="4" borderId="0" xfId="0" applyFill="1"/>
    <xf numFmtId="164" fontId="0" fillId="4" borderId="0" xfId="0" applyNumberFormat="1" applyFill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51">
    <dxf>
      <numFmt numFmtId="1" formatCode="0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Quality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5710434031442"/>
          <c:y val="0.11839997383064541"/>
          <c:w val="0.83732734261504427"/>
          <c:h val="0.7513641660198002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27374654330469828"/>
                  <c:y val="8.46773124072800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Lookups!$G$5:$G$12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numCache>
            </c:numRef>
          </c:xVal>
          <c:yVal>
            <c:numRef>
              <c:f>Lookups!$I$5:$I$12</c:f>
              <c:numCache>
                <c:formatCode>General</c:formatCode>
                <c:ptCount val="8"/>
                <c:pt idx="0">
                  <c:v>34195</c:v>
                </c:pt>
                <c:pt idx="1">
                  <c:v>36568</c:v>
                </c:pt>
                <c:pt idx="2">
                  <c:v>56414</c:v>
                </c:pt>
                <c:pt idx="3">
                  <c:v>71767</c:v>
                </c:pt>
                <c:pt idx="4">
                  <c:v>94366</c:v>
                </c:pt>
                <c:pt idx="7">
                  <c:v>221767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2D4-ADBF-95035923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957279"/>
        <c:axId val="1029958527"/>
      </c:scatterChart>
      <c:valAx>
        <c:axId val="10299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958527"/>
        <c:crosses val="autoZero"/>
        <c:crossBetween val="midCat"/>
      </c:valAx>
      <c:valAx>
        <c:axId val="102995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9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Condition</a:t>
            </a:r>
            <a:r>
              <a:rPr lang="en-US" baseline="0"/>
              <a:t> Growth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51071934592246"/>
          <c:y val="0.12694926019616048"/>
          <c:w val="0.8262416091793835"/>
          <c:h val="0.718781335694533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3738438668617748"/>
                  <c:y val="-3.38487026924283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Lookups!$H$21:$H$24</c:f>
              <c:strCache>
                <c:ptCount val="4"/>
                <c:pt idx="0">
                  <c:v>AV</c:v>
                </c:pt>
                <c:pt idx="1">
                  <c:v>GD</c:v>
                </c:pt>
                <c:pt idx="2">
                  <c:v>VG</c:v>
                </c:pt>
                <c:pt idx="3">
                  <c:v>EX</c:v>
                </c:pt>
              </c:strCache>
            </c:strRef>
          </c:xVal>
          <c:yVal>
            <c:numRef>
              <c:f>Lookups!$I$21:$I$24</c:f>
              <c:numCache>
                <c:formatCode>General</c:formatCode>
                <c:ptCount val="4"/>
                <c:pt idx="0">
                  <c:v>33736</c:v>
                </c:pt>
                <c:pt idx="1">
                  <c:v>94106</c:v>
                </c:pt>
                <c:pt idx="2">
                  <c:v>80695</c:v>
                </c:pt>
                <c:pt idx="3">
                  <c:v>101774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55-4B73-9906-0974CB6C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936479"/>
        <c:axId val="1029954783"/>
      </c:scatterChart>
      <c:valAx>
        <c:axId val="102993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954783"/>
        <c:crosses val="autoZero"/>
        <c:crossBetween val="midCat"/>
      </c:valAx>
      <c:valAx>
        <c:axId val="10299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9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376237</xdr:colOff>
      <xdr:row>0</xdr:row>
      <xdr:rowOff>23812</xdr:rowOff>
    </xdr:from>
    <xdr:to>
      <xdr:col>18</xdr:col>
      <xdr:colOff>9525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37F37-28F5-CF63-319D-073C5507D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352425</xdr:colOff>
      <xdr:row>13</xdr:row>
      <xdr:rowOff>185737</xdr:rowOff>
    </xdr:from>
    <xdr:to>
      <xdr:col>17</xdr:col>
      <xdr:colOff>390525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D28E3A-60B5-7227-55DB-B30771FF7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ob Tate" refreshedDate="45121.42906678241" createdVersion="8" refreshedVersion="8" minRefreshableVersion="3" recordCount="64" xr:uid="{59BA708F-F974-4398-8DB6-AE3FF4C35D3D}">
  <cacheSource type="worksheet">
    <worksheetSource name="Granger_Sales"/>
  </cacheSource>
  <cacheFields count="79">
    <cacheField name="parcel_id" numFmtId="0">
      <sharedItems containsSemiMixedTypes="0" containsString="0" containsNumber="1" containsInteger="1" minValue="21101531403" maxValue="21102234404"/>
    </cacheField>
    <cacheField name="total_acres" numFmtId="0">
      <sharedItems containsSemiMixedTypes="0" containsString="0" containsNumber="1" minValue="0" maxValue="1.52"/>
    </cacheField>
    <cacheField name="total_sqft" numFmtId="0">
      <sharedItems containsSemiMixedTypes="0" containsString="0" containsNumber="1" containsInteger="1" minValue="0" maxValue="25719"/>
    </cacheField>
    <cacheField name="unimproved_acres" numFmtId="0">
      <sharedItems containsSemiMixedTypes="0" containsString="0" containsNumber="1" minValue="0" maxValue="0.17"/>
    </cacheField>
    <cacheField name="nbhd" numFmtId="0">
      <sharedItems/>
    </cacheField>
    <cacheField name="treated_as" numFmtId="0">
      <sharedItems/>
    </cacheField>
    <cacheField name="inspct_cycle" numFmtId="0">
      <sharedItems containsSemiMixedTypes="0" containsString="0" containsNumber="1" containsInteger="1" minValue="3" maxValue="3"/>
    </cacheField>
    <cacheField name="prop_type" numFmtId="0">
      <sharedItems/>
    </cacheField>
    <cacheField name="prev_imp" numFmtId="0">
      <sharedItems containsSemiMixedTypes="0" containsString="0" containsNumber="1" containsInteger="1" minValue="4200" maxValue="481500"/>
    </cacheField>
    <cacheField name="prev_land" numFmtId="0">
      <sharedItems containsSemiMixedTypes="0" containsString="0" containsNumber="1" containsInteger="1" minValue="23900" maxValue="40100"/>
    </cacheField>
    <cacheField name="parcel_acres" numFmtId="0">
      <sharedItems containsSemiMixedTypes="0" containsString="0" containsNumber="1" minValue="0.1" maxValue="1.52"/>
    </cacheField>
    <cacheField name="non_valued_acres" numFmtId="0">
      <sharedItems containsSemiMixedTypes="0" containsString="0" containsNumber="1" containsInteger="1" minValue="0" maxValue="0"/>
    </cacheField>
    <cacheField name="unbuildable" numFmtId="0">
      <sharedItems containsSemiMixedTypes="0" containsString="0" containsNumber="1" containsInteger="1" minValue="0" maxValue="0"/>
    </cacheField>
    <cacheField name="no_utilities" numFmtId="0">
      <sharedItems containsSemiMixedTypes="0" containsString="0" containsNumber="1" containsInteger="1" minValue="0" maxValue="0"/>
    </cacheField>
    <cacheField name="coeff" numFmtId="0">
      <sharedItems containsSemiMixedTypes="0" containsString="0" containsNumber="1" minValue="47108.068500000001" maxValue="47108.068500000001"/>
    </cacheField>
    <cacheField name="const" numFmtId="0">
      <sharedItems containsSemiMixedTypes="0" containsString="0" containsNumber="1" minValue="122297.704" maxValue="122297.704"/>
    </cacheField>
    <cacheField name="land_extract" numFmtId="0">
      <sharedItems containsSemiMixedTypes="0" containsString="0" containsNumber="1" minValue="13827.367712157633" maxValue="142022.3391361573"/>
    </cacheField>
    <cacheField name="bldg_style" numFmtId="0">
      <sharedItems/>
    </cacheField>
    <cacheField name="num_stories" numFmtId="0">
      <sharedItems containsSemiMixedTypes="0" containsString="0" containsNumber="1" containsInteger="1" minValue="1" maxValue="2"/>
    </cacheField>
    <cacheField name="quality" numFmtId="0">
      <sharedItems count="7">
        <s v="A+"/>
        <s v="A"/>
        <s v="G"/>
        <s v="F+"/>
        <s v="G+"/>
        <s v="E"/>
        <s v="F"/>
      </sharedItems>
    </cacheField>
    <cacheField name="condition" numFmtId="0">
      <sharedItems count="6">
        <s v="EX"/>
        <s v="VG"/>
        <s v="GD"/>
        <s v="AV"/>
        <s v="FR"/>
        <s v="PR"/>
      </sharedItems>
    </cacheField>
    <cacheField name="quality_rank" numFmtId="0">
      <sharedItems containsSemiMixedTypes="0" containsString="0" containsNumber="1" containsInteger="1" minValue="0" maxValue="0"/>
    </cacheField>
    <cacheField name="condition_rank" numFmtId="0">
      <sharedItems containsSemiMixedTypes="0" containsString="0" containsNumber="1" containsInteger="1" minValue="0" maxValue="0"/>
    </cacheField>
    <cacheField name="Eff_Age" numFmtId="0">
      <sharedItems containsSemiMixedTypes="0" containsString="0" containsNumber="1" containsInteger="1" minValue="1" maxValue="57"/>
    </cacheField>
    <cacheField name="Age" numFmtId="0">
      <sharedItems containsSemiMixedTypes="0" containsString="0" containsNumber="1" containsInteger="1" minValue="1" maxValue="103"/>
    </cacheField>
    <cacheField name="decade" numFmtId="0">
      <sharedItems containsSemiMixedTypes="0" containsString="0" containsNumber="1" containsInteger="1" minValue="0" maxValue="100" count="11">
        <n v="0"/>
        <n v="10"/>
        <n v="20"/>
        <n v="30"/>
        <n v="40"/>
        <n v="50"/>
        <n v="60"/>
        <n v="70"/>
        <n v="80"/>
        <n v="90"/>
        <n v="100"/>
      </sharedItems>
    </cacheField>
    <cacheField name="living_area_range" numFmtId="0">
      <sharedItems containsSemiMixedTypes="0" containsString="0" containsNumber="1" containsInteger="1" minValue="1000" maxValue="3000" count="5">
        <n v="2000"/>
        <n v="1500"/>
        <n v="3000"/>
        <n v="2500"/>
        <n v="1000"/>
      </sharedItems>
    </cacheField>
    <cacheField name="living_area" numFmtId="0">
      <sharedItems containsSemiMixedTypes="0" containsString="0" containsNumber="1" containsInteger="1" minValue="660" maxValue="2888"/>
    </cacheField>
    <cacheField name="Main Floor" numFmtId="0">
      <sharedItems containsSemiMixedTypes="0" containsString="0" containsNumber="1" containsInteger="1" minValue="660" maxValue="2311"/>
    </cacheField>
    <cacheField name="Upper Floor" numFmtId="0">
      <sharedItems containsSemiMixedTypes="0" containsString="0" containsNumber="1" containsInteger="1" minValue="0" maxValue="540"/>
    </cacheField>
    <cacheField name="Fin BSMT" numFmtId="0">
      <sharedItems containsSemiMixedTypes="0" containsString="0" containsNumber="1" containsInteger="1" minValue="0" maxValue="1434"/>
    </cacheField>
    <cacheField name="UnFin BSMT" numFmtId="0">
      <sharedItems containsSemiMixedTypes="0" containsString="0" containsNumber="1" containsInteger="1" minValue="0" maxValue="200"/>
    </cacheField>
    <cacheField name="garage_sqft" numFmtId="0">
      <sharedItems containsSemiMixedTypes="0" containsString="0" containsNumber="1" containsInteger="1" minValue="0" maxValue="800"/>
    </cacheField>
    <cacheField name="Carport" numFmtId="0">
      <sharedItems containsSemiMixedTypes="0" containsString="0" containsNumber="1" containsInteger="1" minValue="0" maxValue="264"/>
    </cacheField>
    <cacheField name="Wood Deck" numFmtId="0">
      <sharedItems containsSemiMixedTypes="0" containsString="0" containsNumber="1" containsInteger="1" minValue="0" maxValue="357"/>
    </cacheField>
    <cacheField name="Patio" numFmtId="0">
      <sharedItems containsSemiMixedTypes="0" containsString="0" containsNumber="1" containsInteger="1" minValue="0" maxValue="1464"/>
    </cacheField>
    <cacheField name="Plumbing Fixtures" numFmtId="0">
      <sharedItems containsSemiMixedTypes="0" containsString="0" containsNumber="1" containsInteger="1" minValue="5" maxValue="18"/>
    </cacheField>
    <cacheField name="stove" numFmtId="0">
      <sharedItems containsSemiMixedTypes="0" containsString="0" containsNumber="1" containsInteger="1" minValue="0" maxValue="1"/>
    </cacheField>
    <cacheField name="fireplace" numFmtId="0">
      <sharedItems containsSemiMixedTypes="0" containsString="0" containsNumber="1" containsInteger="1" minValue="0" maxValue="1"/>
    </cacheField>
    <cacheField name="roofing" numFmtId="0">
      <sharedItems/>
    </cacheField>
    <cacheField name="heating" numFmtId="0">
      <sharedItems containsSemiMixedTypes="0" containsString="0" containsNumber="1" containsInteger="1" minValue="0" maxValue="1"/>
    </cacheField>
    <cacheField name="heat_type" numFmtId="0">
      <sharedItems/>
    </cacheField>
    <cacheField name="fuel_type" numFmtId="0">
      <sharedItems/>
    </cacheField>
    <cacheField name="ac" numFmtId="0">
      <sharedItems containsSemiMixedTypes="0" containsString="0" containsNumber="1" containsInteger="1" minValue="0" maxValue="1"/>
    </cacheField>
    <cacheField name="num_bedrooms" numFmtId="0">
      <sharedItems containsSemiMixedTypes="0" containsString="0" containsNumber="1" containsInteger="1" minValue="2" maxValue="4"/>
    </cacheField>
    <cacheField name="crop_value" numFmtId="0">
      <sharedItems containsSemiMixedTypes="0" containsString="0" containsNumber="1" containsInteger="1" minValue="0" maxValue="0"/>
    </cacheField>
    <cacheField name="detatched_value" numFmtId="0">
      <sharedItems containsSemiMixedTypes="0" containsString="0" containsNumber="1" containsInteger="1" minValue="0" maxValue="42700"/>
    </cacheField>
    <cacheField name="pct_complete" numFmtId="0">
      <sharedItems containsSemiMixedTypes="0" containsString="0" containsNumber="1" containsInteger="1" minValue="100" maxValue="100"/>
    </cacheField>
    <cacheField name="sale_date" numFmtId="14">
      <sharedItems containsSemiMixedTypes="0" containsNonDate="0" containsDate="1" containsString="0" minDate="2020-01-04T00:00:00" maxDate="2022-10-27T00:00:00"/>
    </cacheField>
    <cacheField name="assessed_land" numFmtId="0">
      <sharedItems containsSemiMixedTypes="0" containsString="0" containsNumber="1" containsInteger="1" minValue="17300" maxValue="60000"/>
    </cacheField>
    <cacheField name="assessed_imp" numFmtId="0">
      <sharedItems containsSemiMixedTypes="0" containsString="0" containsNumber="1" containsInteger="1" minValue="56037" maxValue="711594"/>
    </cacheField>
    <cacheField name="assessed_total" numFmtId="0">
      <sharedItems containsSemiMixedTypes="0" containsString="0" containsNumber="1" containsInteger="1" minValue="74800" maxValue="771600"/>
    </cacheField>
    <cacheField name="sale_price" numFmtId="0">
      <sharedItems containsSemiMixedTypes="0" containsString="0" containsNumber="1" containsInteger="1" minValue="75000" maxValue="592000"/>
    </cacheField>
    <cacheField name="days_prior_to_assessment" numFmtId="0">
      <sharedItems containsSemiMixedTypes="0" containsString="0" containsNumber="1" containsInteger="1" minValue="67" maxValue="1093"/>
    </cacheField>
    <cacheField name="land_value_1" numFmtId="0">
      <sharedItems containsSemiMixedTypes="0" containsString="0" containsNumber="1" minValue="8237.3888290578361" maxValue="84607.081711454302"/>
    </cacheField>
    <cacheField name="Intercept" numFmtId="0">
      <sharedItems containsSemiMixedTypes="0" containsString="0" containsNumber="1" minValue="29703.559000000001" maxValue="29703.559000000001"/>
    </cacheField>
    <cacheField name="quality_value" numFmtId="0">
      <sharedItems containsSemiMixedTypes="0" containsString="0" containsNumber="1" minValue="23737.786340274597" maxValue="221767"/>
    </cacheField>
    <cacheField name="cond_value" numFmtId="0">
      <sharedItems containsSemiMixedTypes="0" containsString="0" containsNumber="1" containsInteger="1" minValue="27308" maxValue="101774"/>
    </cacheField>
    <cacheField name="Age_value" numFmtId="0">
      <sharedItems containsSemiMixedTypes="0" containsString="0" containsNumber="1" minValue="-21355.103299999999" maxValue="-207.33109999999999"/>
    </cacheField>
    <cacheField name="Living_Area_Value" numFmtId="0">
      <sharedItems containsSemiMixedTypes="0" containsString="0" containsNumber="1" minValue="44400.119939999997" maxValue="194284.161192"/>
    </cacheField>
    <cacheField name="Garage_value" numFmtId="0">
      <sharedItems containsSemiMixedTypes="0" containsString="0" containsNumber="1" minValue="0" maxValue="38758.068800000001"/>
    </cacheField>
    <cacheField name="Patio_Value" numFmtId="0">
      <sharedItems containsSemiMixedTypes="0" containsString="0" containsNumber="1" minValue="0" maxValue="79517.300543999998"/>
    </cacheField>
    <cacheField name="Days_prior_adj" numFmtId="0">
      <sharedItems containsSemiMixedTypes="0" containsString="0" containsNumber="1" minValue="-73407.639729999995" maxValue="-4499.8278700000001"/>
    </cacheField>
    <cacheField name="predicted_land" numFmtId="0">
      <sharedItems containsSemiMixedTypes="0" containsString="0" containsNumber="1" minValue="8237.3888290578361" maxValue="84607.081711454302"/>
    </cacheField>
    <cacheField name="predicted_res" numFmtId="0">
      <sharedItems containsSemiMixedTypes="0" containsString="0" containsNumber="1" minValue="58866.362396274606" maxValue="544162.69500300009"/>
    </cacheField>
    <cacheField name="predicted_det" numFmtId="0">
      <sharedItems containsSemiMixedTypes="0" containsString="0" containsNumber="1" containsInteger="1" minValue="0" maxValue="42700"/>
    </cacheField>
    <cacheField name="predicted_total" numFmtId="0">
      <sharedItems containsSemiMixedTypes="0" containsString="0" containsNumber="1" minValue="116044.13208659517" maxValue="591997.63753403188"/>
    </cacheField>
    <cacheField name="predicted_ratio" numFmtId="0">
      <sharedItems containsSemiMixedTypes="0" containsString="0" containsNumber="1" minValue="0.80378777776939747" maxValue="1.6804531094915967"/>
    </cacheField>
    <cacheField name="qual_adj" numFmtId="0">
      <sharedItems containsSemiMixedTypes="0" containsString="0" containsNumber="1" minValue="0.98258795897788032" maxValue="1.0179032724321755"/>
    </cacheField>
    <cacheField name="cond_adj" numFmtId="0">
      <sharedItems containsSemiMixedTypes="0" containsString="0" containsNumber="1" minValue="0.82553480985850469" maxValue="1.0808650777425759"/>
    </cacheField>
    <cacheField name="decade_adj" numFmtId="0">
      <sharedItems containsSemiMixedTypes="0" containsString="0" containsNumber="1" minValue="0.879441629375324" maxValue="1.2448528948016826"/>
    </cacheField>
    <cacheField name="living_range_adj" numFmtId="0">
      <sharedItems containsSemiMixedTypes="0" containsString="0" containsNumber="1" minValue="0.97860968051050168" maxValue="1.0143477041964586"/>
    </cacheField>
    <cacheField name="final_land" numFmtId="0">
      <sharedItems containsSemiMixedTypes="0" containsString="0" containsNumber="1" minValue="8237.3888290578361" maxValue="84607.081711454302"/>
    </cacheField>
    <cacheField name="final_res" numFmtId="0">
      <sharedItems containsSemiMixedTypes="0" containsString="0" containsNumber="1" minValue="58316.356836350671" maxValue="545627.31441519072"/>
    </cacheField>
    <cacheField name="final_det" numFmtId="0">
      <sharedItems containsSemiMixedTypes="0" containsString="0" containsNumber="1" containsInteger="1" minValue="0" maxValue="42700"/>
    </cacheField>
    <cacheField name="final_total" numFmtId="0">
      <sharedItems containsSemiMixedTypes="0" containsString="0" containsNumber="1" minValue="112803.29912126897" maxValue="593462.25694622239"/>
    </cacheField>
    <cacheField name="final_ratio" numFmtId="0">
      <sharedItems containsSemiMixedTypes="0" containsString="0" containsNumber="1" minValue="0.80485037262118164" maxValue="1.6134521649607476"/>
    </cacheField>
    <cacheField name="variance" numFmtId="0">
      <sharedItems containsSemiMixedTypes="0" containsString="0" containsNumber="1" minValue="-43323.217278097669" maxValue="80033.882419723202"/>
    </cacheField>
    <cacheField name="var^2" numFmtId="0">
      <sharedItems containsSemiMixedTypes="0" containsString="0" containsNumber="1" minValue="129314.61267719093" maxValue="6405422335.17407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21102231416"/>
    <n v="0.18"/>
    <n v="7998"/>
    <n v="0"/>
    <s v="GR"/>
    <s v="GR"/>
    <n v="3"/>
    <s v="RES"/>
    <n v="302300"/>
    <n v="27400"/>
    <n v="0.18"/>
    <n v="0"/>
    <n v="0"/>
    <n v="0"/>
    <n v="47108.068500000001"/>
    <n v="122297.704"/>
    <n v="41516.862185753198"/>
    <s v="RN"/>
    <n v="1"/>
    <x v="0"/>
    <x v="0"/>
    <n v="0"/>
    <n v="0"/>
    <n v="1"/>
    <n v="1"/>
    <x v="0"/>
    <x v="0"/>
    <n v="1815"/>
    <n v="1815"/>
    <n v="0"/>
    <n v="0"/>
    <n v="0"/>
    <n v="552"/>
    <n v="0"/>
    <n v="0"/>
    <n v="0"/>
    <n v="9"/>
    <n v="0"/>
    <n v="0"/>
    <s v="CP"/>
    <n v="1"/>
    <s v="FD"/>
    <s v="G"/>
    <n v="1"/>
    <n v="3"/>
    <n v="0"/>
    <n v="0"/>
    <n v="100"/>
    <d v="2022-03-21T00:00:00"/>
    <n v="20900"/>
    <n v="306177"/>
    <n v="327100"/>
    <n v="349900"/>
    <n v="286"/>
    <n v="24732.8735234085"/>
    <n v="29703.559000000001"/>
    <n v="56414"/>
    <n v="101774"/>
    <n v="-207.33109999999999"/>
    <n v="122100.329835"/>
    <n v="26743.067472000002"/>
    <n v="0"/>
    <n v="-19208.22046"/>
    <n v="24732.8735234085"/>
    <n v="317319.40474700002"/>
    <n v="0"/>
    <n v="342052.27827040851"/>
    <n v="0.97757152978110462"/>
    <n v="0.98791809110152173"/>
    <n v="0.99135053432734199"/>
    <n v="0.99951026660104636"/>
    <n v="0.97860968051050168"/>
    <n v="24732.8735234085"/>
    <n v="313939.04654777591"/>
    <n v="0"/>
    <n v="338671.9200711844"/>
    <n v="0.96791060323287914"/>
    <n v="-11228.079928815598"/>
    <n v="126069778.88787168"/>
  </r>
  <r>
    <n v="21101641588"/>
    <n v="0"/>
    <n v="14799"/>
    <n v="0"/>
    <s v="GR"/>
    <s v="GR"/>
    <n v="3"/>
    <s v="RES"/>
    <n v="280000"/>
    <n v="29200"/>
    <n v="0.34"/>
    <n v="0"/>
    <n v="0"/>
    <n v="0"/>
    <n v="47108.068500000001"/>
    <n v="122297.704"/>
    <n v="71477.064573629323"/>
    <s v="CO"/>
    <n v="1"/>
    <x v="0"/>
    <x v="0"/>
    <n v="0"/>
    <n v="0"/>
    <n v="1"/>
    <n v="1"/>
    <x v="0"/>
    <x v="1"/>
    <n v="1456"/>
    <n v="1456"/>
    <n v="0"/>
    <n v="0"/>
    <n v="0"/>
    <n v="484"/>
    <n v="0"/>
    <n v="0"/>
    <n v="0"/>
    <n v="8"/>
    <n v="0"/>
    <n v="0"/>
    <s v="CP"/>
    <n v="1"/>
    <s v="HP"/>
    <s v="G"/>
    <n v="1"/>
    <n v="3"/>
    <n v="0"/>
    <n v="0"/>
    <n v="100"/>
    <d v="2022-08-23T00:00:00"/>
    <n v="21200"/>
    <n v="260114"/>
    <n v="281300"/>
    <n v="342500"/>
    <n v="131"/>
    <n v="42581.088860099859"/>
    <n v="29703.559000000001"/>
    <n v="56414"/>
    <n v="101774"/>
    <n v="-207.33109999999999"/>
    <n v="97949.355503999992"/>
    <n v="23448.631624000001"/>
    <n v="0"/>
    <n v="-8798.1709099999989"/>
    <n v="42581.088860099859"/>
    <n v="300284.04411799996"/>
    <n v="0"/>
    <n v="342865.13297809981"/>
    <n v="1.0010660816878827"/>
    <n v="0.98791809110152173"/>
    <n v="0.99135053432734199"/>
    <n v="0.99951026660104636"/>
    <n v="0.99870227473851148"/>
    <n v="42581.088860099859"/>
    <n v="298593.53254010063"/>
    <n v="0"/>
    <n v="341174.62140020047"/>
    <n v="0.99613028146043936"/>
    <n v="-1325.3785997995292"/>
    <n v="1756628.4328065605"/>
  </r>
  <r>
    <n v="21101641589"/>
    <n v="0"/>
    <n v="14799"/>
    <n v="0"/>
    <s v="GR"/>
    <s v="GR"/>
    <n v="3"/>
    <s v="RES"/>
    <n v="168000"/>
    <n v="29200"/>
    <n v="0.34"/>
    <n v="0"/>
    <n v="0"/>
    <n v="0"/>
    <n v="47108.068500000001"/>
    <n v="122297.704"/>
    <n v="71477.064573629323"/>
    <s v="CO"/>
    <n v="1"/>
    <x v="0"/>
    <x v="0"/>
    <n v="0"/>
    <n v="0"/>
    <n v="1"/>
    <n v="1"/>
    <x v="0"/>
    <x v="1"/>
    <n v="1456"/>
    <n v="1456"/>
    <n v="0"/>
    <n v="0"/>
    <n v="0"/>
    <n v="484"/>
    <n v="0"/>
    <n v="0"/>
    <n v="0"/>
    <n v="8"/>
    <n v="0"/>
    <n v="0"/>
    <s v="CP"/>
    <n v="1"/>
    <s v="HP"/>
    <s v="G"/>
    <n v="1"/>
    <n v="3"/>
    <n v="0"/>
    <n v="0"/>
    <n v="100"/>
    <d v="2022-10-26T00:00:00"/>
    <n v="21200"/>
    <n v="262536"/>
    <n v="283700"/>
    <n v="350000"/>
    <n v="67"/>
    <n v="42581.088860099859"/>
    <n v="29703.559000000001"/>
    <n v="56414"/>
    <n v="101774"/>
    <n v="-207.33109999999999"/>
    <n v="97949.355503999992"/>
    <n v="23448.631624000001"/>
    <n v="0"/>
    <n v="-4499.8278700000001"/>
    <n v="42581.088860099859"/>
    <n v="304582.38715799997"/>
    <n v="0"/>
    <n v="347163.47601809981"/>
    <n v="0.99189564576599942"/>
    <n v="0.98791809110152173"/>
    <n v="0.99135053432734199"/>
    <n v="0.99951026660104636"/>
    <n v="0.99870227473851148"/>
    <n v="42581.088860099859"/>
    <n v="302867.67716257821"/>
    <n v="0"/>
    <n v="345448.76602267806"/>
    <n v="0.98699647435050875"/>
    <n v="-4551.2339773219428"/>
    <n v="20713730.716329712"/>
  </r>
  <r>
    <n v="21102112424"/>
    <n v="0.25"/>
    <n v="11078"/>
    <n v="0"/>
    <s v="GR"/>
    <s v="GR"/>
    <n v="3"/>
    <s v="RES"/>
    <n v="191600"/>
    <n v="29300"/>
    <n v="0.25"/>
    <n v="0"/>
    <n v="0"/>
    <n v="0"/>
    <n v="47108.068500000001"/>
    <n v="122297.704"/>
    <n v="56992.054275200455"/>
    <s v="CO"/>
    <n v="1"/>
    <x v="1"/>
    <x v="0"/>
    <n v="0"/>
    <n v="0"/>
    <n v="2"/>
    <n v="2"/>
    <x v="0"/>
    <x v="1"/>
    <n v="1083"/>
    <n v="1083"/>
    <n v="0"/>
    <n v="0"/>
    <n v="0"/>
    <n v="0"/>
    <n v="0"/>
    <n v="0"/>
    <n v="0"/>
    <n v="8"/>
    <n v="0"/>
    <n v="0"/>
    <s v="CP"/>
    <n v="1"/>
    <s v="HP"/>
    <s v="E"/>
    <n v="1"/>
    <n v="2"/>
    <n v="0"/>
    <n v="0"/>
    <n v="100"/>
    <d v="2022-05-06T00:00:00"/>
    <n v="22600"/>
    <n v="163657"/>
    <n v="186300"/>
    <n v="250000"/>
    <n v="240"/>
    <n v="33951.922087008585"/>
    <n v="29703.559000000001"/>
    <n v="36568"/>
    <n v="101774"/>
    <n v="-414.66219999999998"/>
    <n v="72856.560446999996"/>
    <n v="0"/>
    <n v="0"/>
    <n v="-16118.786399999999"/>
    <n v="33951.922087008585"/>
    <n v="224368.670847"/>
    <n v="0"/>
    <n v="258320.59293400857"/>
    <n v="1.0332823717360342"/>
    <n v="0.99049976351917957"/>
    <n v="0.99135053432734199"/>
    <n v="0.99951026660104636"/>
    <n v="0.99870227473851148"/>
    <n v="33951.922087008585"/>
    <n v="223250.35227892941"/>
    <n v="0"/>
    <n v="257202.27436593798"/>
    <n v="1.0288090974637518"/>
    <n v="7202.2743659379776"/>
    <n v="51872756.042247295"/>
  </r>
  <r>
    <n v="21102114560"/>
    <n v="0"/>
    <n v="13020"/>
    <n v="0"/>
    <s v="GR"/>
    <s v="GR"/>
    <n v="3"/>
    <s v="RES"/>
    <n v="328700"/>
    <n v="28400"/>
    <n v="0.3"/>
    <n v="0"/>
    <n v="0"/>
    <n v="0"/>
    <n v="47108.068500000001"/>
    <n v="122297.704"/>
    <n v="65580.870661676701"/>
    <s v="CO"/>
    <n v="1"/>
    <x v="2"/>
    <x v="0"/>
    <n v="0"/>
    <n v="0"/>
    <n v="2"/>
    <n v="2"/>
    <x v="0"/>
    <x v="0"/>
    <n v="1680"/>
    <n v="1680"/>
    <n v="0"/>
    <n v="0"/>
    <n v="0"/>
    <n v="700"/>
    <n v="0"/>
    <n v="0"/>
    <n v="0"/>
    <n v="10"/>
    <n v="0"/>
    <n v="0"/>
    <s v="CP"/>
    <n v="1"/>
    <s v="HP"/>
    <s v="E"/>
    <n v="1"/>
    <n v="3"/>
    <n v="0"/>
    <n v="0"/>
    <n v="100"/>
    <d v="2022-01-07T00:00:00"/>
    <n v="20700"/>
    <n v="354892"/>
    <n v="375600"/>
    <n v="382000"/>
    <n v="359"/>
    <n v="39068.544543977194"/>
    <n v="29703.559000000001"/>
    <n v="71767"/>
    <n v="101774"/>
    <n v="-414.66219999999998"/>
    <n v="113018.48711999999"/>
    <n v="33913.3102"/>
    <n v="0"/>
    <n v="-24111.01799"/>
    <n v="39068.544543977194"/>
    <n v="325650.67612999998"/>
    <n v="0"/>
    <n v="364719.22067397716"/>
    <n v="0.95476235778528051"/>
    <n v="0.992092799099482"/>
    <n v="0.99135053432734199"/>
    <n v="0.99951026660104636"/>
    <n v="0.97860968051050168"/>
    <n v="39068.544543977194"/>
    <n v="322521.44020977541"/>
    <n v="0"/>
    <n v="361589.98475375259"/>
    <n v="0.94657064071662977"/>
    <n v="-20410.015246247407"/>
    <n v="416568722.35205162"/>
  </r>
  <r>
    <n v="21101641501"/>
    <n v="0.14000000000000001"/>
    <n v="6150"/>
    <n v="0"/>
    <s v="GR"/>
    <s v="GR"/>
    <n v="3"/>
    <s v="RES"/>
    <n v="256100"/>
    <n v="25900"/>
    <n v="0.14000000000000001"/>
    <n v="0"/>
    <n v="0"/>
    <n v="0"/>
    <n v="47108.068500000001"/>
    <n v="122297.704"/>
    <n v="29677.924883257932"/>
    <s v="RN"/>
    <n v="1"/>
    <x v="1"/>
    <x v="0"/>
    <n v="0"/>
    <n v="0"/>
    <n v="2"/>
    <n v="2"/>
    <x v="0"/>
    <x v="0"/>
    <n v="1600"/>
    <n v="1600"/>
    <n v="0"/>
    <n v="0"/>
    <n v="0"/>
    <n v="288"/>
    <n v="0"/>
    <n v="0"/>
    <n v="0"/>
    <n v="8"/>
    <n v="0"/>
    <n v="0"/>
    <s v="CP"/>
    <n v="1"/>
    <s v="HP"/>
    <s v="E"/>
    <n v="1"/>
    <n v="3"/>
    <n v="0"/>
    <n v="0"/>
    <n v="100"/>
    <d v="2021-09-10T00:00:00"/>
    <n v="19800"/>
    <n v="236341"/>
    <n v="256100"/>
    <n v="230000"/>
    <n v="478"/>
    <n v="17680.053933043157"/>
    <n v="29703.559000000001"/>
    <n v="36568"/>
    <n v="101774"/>
    <n v="-414.66219999999998"/>
    <n v="107636.6544"/>
    <n v="13952.904768"/>
    <n v="0"/>
    <n v="-32103.24958"/>
    <n v="17680.053933043157"/>
    <n v="257117.20638799999"/>
    <n v="0"/>
    <n v="274797.26032104314"/>
    <n v="1.1947706970480136"/>
    <n v="0.99049976351917957"/>
    <n v="0.99135053432734199"/>
    <n v="0.99951026660104636"/>
    <n v="0.97860968051050168"/>
    <n v="17680.053933043157"/>
    <n v="254544.12169080571"/>
    <n v="0"/>
    <n v="272224.17562384886"/>
    <n v="1.1835833722776037"/>
    <n v="42224.17562384886"/>
    <n v="1782881007.1136322"/>
  </r>
  <r>
    <n v="21102113469"/>
    <n v="0.1"/>
    <n v="4274"/>
    <n v="0"/>
    <s v="GR"/>
    <s v="GR"/>
    <n v="3"/>
    <s v="RES"/>
    <n v="239500"/>
    <n v="23900"/>
    <n v="0.1"/>
    <n v="0"/>
    <n v="0"/>
    <n v="0"/>
    <n v="47108.068500000001"/>
    <n v="122297.704"/>
    <n v="13827.367712157633"/>
    <s v="RN"/>
    <n v="1"/>
    <x v="0"/>
    <x v="0"/>
    <n v="0"/>
    <n v="0"/>
    <n v="2"/>
    <n v="2"/>
    <x v="0"/>
    <x v="1"/>
    <n v="1323"/>
    <n v="1323"/>
    <n v="0"/>
    <n v="0"/>
    <n v="0"/>
    <n v="0"/>
    <n v="264"/>
    <n v="0"/>
    <n v="0"/>
    <n v="9"/>
    <n v="0"/>
    <n v="0"/>
    <s v="CP"/>
    <n v="1"/>
    <s v="HP"/>
    <s v="G"/>
    <n v="1"/>
    <n v="3"/>
    <n v="0"/>
    <n v="0"/>
    <n v="100"/>
    <d v="2021-04-06T00:00:00"/>
    <n v="18200"/>
    <n v="235047"/>
    <n v="253200"/>
    <n v="245000"/>
    <n v="635"/>
    <n v="8237.3888290578361"/>
    <n v="29703.559000000001"/>
    <n v="56414"/>
    <n v="101774"/>
    <n v="-414.66219999999998"/>
    <n v="89002.058606999999"/>
    <n v="0"/>
    <n v="0"/>
    <n v="-42647.622349999998"/>
    <n v="8237.3888290578361"/>
    <n v="233831.33305700004"/>
    <n v="0"/>
    <n v="242068.72188605787"/>
    <n v="0.98803559953493014"/>
    <n v="0.98791809110152173"/>
    <n v="0.99135053432734199"/>
    <n v="0.99951026660104636"/>
    <n v="0.99870227473851148"/>
    <n v="8237.3888290578361"/>
    <n v="232514.93085864297"/>
    <n v="0"/>
    <n v="240752.3196877008"/>
    <n v="0.98266252933755427"/>
    <n v="-4247.6803122991987"/>
    <n v="18042788.03549422"/>
  </r>
  <r>
    <n v="21102141410"/>
    <n v="0.16"/>
    <n v="0"/>
    <n v="0"/>
    <s v="GR"/>
    <s v="GR"/>
    <n v="3"/>
    <s v="RES"/>
    <n v="262700"/>
    <n v="25000"/>
    <n v="0.16"/>
    <n v="0"/>
    <n v="0"/>
    <n v="0"/>
    <n v="47108.068500000001"/>
    <n v="122297.704"/>
    <n v="35968.330873914325"/>
    <s v="RN"/>
    <n v="1"/>
    <x v="0"/>
    <x v="0"/>
    <n v="0"/>
    <n v="0"/>
    <n v="3"/>
    <n v="3"/>
    <x v="0"/>
    <x v="0"/>
    <n v="1600"/>
    <n v="1600"/>
    <n v="0"/>
    <n v="0"/>
    <n v="0"/>
    <n v="288"/>
    <n v="0"/>
    <n v="128"/>
    <n v="0"/>
    <n v="9"/>
    <n v="0"/>
    <n v="0"/>
    <s v="CP"/>
    <n v="1"/>
    <s v="HP"/>
    <s v="E"/>
    <n v="1"/>
    <n v="3"/>
    <n v="0"/>
    <n v="0"/>
    <n v="100"/>
    <d v="2020-12-10T00:00:00"/>
    <n v="17900"/>
    <n v="271546"/>
    <n v="289400"/>
    <n v="275500"/>
    <n v="752"/>
    <n v="21427.44252618168"/>
    <n v="29703.559000000001"/>
    <n v="56414"/>
    <n v="101774"/>
    <n v="-621.99329999999998"/>
    <n v="107636.6544"/>
    <n v="13952.904768"/>
    <n v="0"/>
    <n v="-50505.530719999995"/>
    <n v="21427.44252618168"/>
    <n v="258353.59414800006"/>
    <n v="0"/>
    <n v="279781.03667418176"/>
    <n v="1.0155391530823294"/>
    <n v="0.98791809110152173"/>
    <n v="0.99135053432734199"/>
    <n v="0.99951026660104636"/>
    <n v="0.97860968051050168"/>
    <n v="21427.44252618168"/>
    <n v="255601.39028900972"/>
    <n v="0"/>
    <n v="277028.83281519142"/>
    <n v="1.0055493024144879"/>
    <n v="1528.8328151914175"/>
    <n v="2337329.7768061147"/>
  </r>
  <r>
    <n v="21102231411"/>
    <n v="0.17"/>
    <n v="7375"/>
    <n v="0"/>
    <s v="GR"/>
    <s v="GR"/>
    <n v="3"/>
    <s v="RES"/>
    <n v="322700"/>
    <n v="27100"/>
    <n v="0.17"/>
    <n v="0"/>
    <n v="0"/>
    <n v="0"/>
    <n v="47108.068500000001"/>
    <n v="122297.704"/>
    <n v="38824.239711229544"/>
    <s v="CP"/>
    <n v="1"/>
    <x v="0"/>
    <x v="0"/>
    <n v="0"/>
    <n v="0"/>
    <n v="3"/>
    <n v="3"/>
    <x v="0"/>
    <x v="0"/>
    <n v="1564"/>
    <n v="1564"/>
    <n v="0"/>
    <n v="0"/>
    <n v="0"/>
    <n v="560"/>
    <n v="0"/>
    <n v="0"/>
    <n v="0"/>
    <n v="8"/>
    <n v="0"/>
    <n v="0"/>
    <s v="CP"/>
    <n v="1"/>
    <s v="HP"/>
    <s v="E"/>
    <n v="1"/>
    <n v="3"/>
    <n v="0"/>
    <n v="0"/>
    <n v="100"/>
    <d v="2020-07-16T00:00:00"/>
    <n v="20600"/>
    <n v="271538"/>
    <n v="292100"/>
    <n v="285000"/>
    <n v="899"/>
    <n v="23128.795382562545"/>
    <n v="29703.559000000001"/>
    <n v="56414"/>
    <n v="101774"/>
    <n v="-621.99329999999998"/>
    <n v="105214.82967599999"/>
    <n v="27130.648160000001"/>
    <n v="0"/>
    <n v="-60378.287389999998"/>
    <n v="23128.795382562545"/>
    <n v="259236.75614599994"/>
    <n v="0"/>
    <n v="282365.5515285625"/>
    <n v="0.99075632115285084"/>
    <n v="0.98791809110152173"/>
    <n v="0.99135053432734199"/>
    <n v="0.99951026660104636"/>
    <n v="0.97860968051050168"/>
    <n v="23128.795382562545"/>
    <n v="256475.14408865638"/>
    <n v="0"/>
    <n v="279603.93947121891"/>
    <n v="0.98106645428497863"/>
    <n v="-5396.0605287810904"/>
    <n v="29117469.230269261"/>
  </r>
  <r>
    <n v="21101613404"/>
    <n v="0.56999999999999995"/>
    <n v="0"/>
    <n v="0"/>
    <s v="GR"/>
    <s v="GR"/>
    <n v="3"/>
    <s v="RES"/>
    <n v="285500"/>
    <n v="32000"/>
    <n v="0.56999999999999995"/>
    <n v="0"/>
    <n v="0"/>
    <n v="0"/>
    <n v="47108.068500000001"/>
    <n v="122297.704"/>
    <n v="95817.367498477077"/>
    <s v="RN"/>
    <n v="1"/>
    <x v="0"/>
    <x v="0"/>
    <n v="0"/>
    <n v="0"/>
    <n v="3"/>
    <n v="3"/>
    <x v="0"/>
    <x v="0"/>
    <n v="1644"/>
    <n v="1644"/>
    <n v="0"/>
    <n v="0"/>
    <n v="0"/>
    <n v="576"/>
    <n v="0"/>
    <n v="0"/>
    <n v="0"/>
    <n v="9"/>
    <n v="0"/>
    <n v="0"/>
    <s v="CP"/>
    <n v="1"/>
    <s v="HP"/>
    <s v="E"/>
    <n v="1"/>
    <n v="3"/>
    <n v="0"/>
    <n v="0"/>
    <n v="100"/>
    <d v="2020-08-07T00:00:00"/>
    <n v="23800"/>
    <n v="296043"/>
    <n v="319800"/>
    <n v="307770"/>
    <n v="877"/>
    <n v="57081.35699376175"/>
    <n v="29703.559000000001"/>
    <n v="56414"/>
    <n v="101774"/>
    <n v="-621.99329999999998"/>
    <n v="110596.662396"/>
    <n v="27905.809536000001"/>
    <n v="0"/>
    <n v="-58900.731969999993"/>
    <n v="57081.35699376175"/>
    <n v="266871.30566200009"/>
    <n v="0"/>
    <n v="323952.66265576181"/>
    <n v="1.0525803770860116"/>
    <n v="0.98791809110152173"/>
    <n v="0.99135053432734199"/>
    <n v="0.99951026660104636"/>
    <n v="0.97860968051050168"/>
    <n v="57081.35699376175"/>
    <n v="264028.36384143459"/>
    <n v="0"/>
    <n v="321109.72083519632"/>
    <n v="1.0433431485693743"/>
    <n v="13339.72083519632"/>
    <n v="177948151.96097082"/>
  </r>
  <r>
    <n v="21102112494"/>
    <n v="0"/>
    <n v="8401"/>
    <n v="0"/>
    <s v="GR"/>
    <s v="GR"/>
    <n v="3"/>
    <s v="RES"/>
    <n v="210800"/>
    <n v="27800"/>
    <n v="0.19"/>
    <n v="0"/>
    <n v="0"/>
    <n v="0"/>
    <n v="47108.068500000001"/>
    <n v="122297.704"/>
    <n v="44063.864548957994"/>
    <s v="BG"/>
    <n v="1"/>
    <x v="1"/>
    <x v="0"/>
    <n v="0"/>
    <n v="0"/>
    <n v="3"/>
    <n v="3"/>
    <x v="0"/>
    <x v="1"/>
    <n v="1080"/>
    <n v="1080"/>
    <n v="0"/>
    <n v="0"/>
    <n v="0"/>
    <n v="0"/>
    <n v="0"/>
    <n v="0"/>
    <n v="0"/>
    <n v="5"/>
    <n v="0"/>
    <n v="0"/>
    <s v="CP"/>
    <n v="1"/>
    <s v="MH"/>
    <s v="E"/>
    <n v="1"/>
    <n v="3"/>
    <n v="0"/>
    <n v="0"/>
    <n v="100"/>
    <d v="2020-08-28T00:00:00"/>
    <n v="21200"/>
    <n v="150050"/>
    <n v="171300"/>
    <n v="219000"/>
    <n v="856"/>
    <n v="26250.201278842385"/>
    <n v="29703.559000000001"/>
    <n v="36568"/>
    <n v="101774"/>
    <n v="-621.99329999999998"/>
    <n v="72654.741720000005"/>
    <n v="0"/>
    <n v="0"/>
    <n v="-57490.338159999999"/>
    <n v="26250.201278842385"/>
    <n v="182587.96926000004"/>
    <n v="0"/>
    <n v="208838.17053884242"/>
    <n v="0.95359895223215718"/>
    <n v="0.99049976351917957"/>
    <n v="0.99135053432734199"/>
    <n v="0.99951026660104636"/>
    <n v="0.99870227473851148"/>
    <n v="26250.201278842385"/>
    <n v="181677.89783354406"/>
    <n v="0"/>
    <n v="207928.09911238644"/>
    <n v="0.94944337494240383"/>
    <n v="-11071.900887613563"/>
    <n v="122586989.265138"/>
  </r>
  <r>
    <n v="21102114525"/>
    <n v="0.17"/>
    <n v="7500"/>
    <n v="0.17"/>
    <s v="GR"/>
    <s v="GR"/>
    <n v="3"/>
    <s v="RES"/>
    <n v="239500"/>
    <n v="25300"/>
    <n v="0.17"/>
    <n v="0"/>
    <n v="0"/>
    <n v="0"/>
    <n v="47108.068500000001"/>
    <n v="122297.704"/>
    <n v="38824.239711229544"/>
    <s v="RN"/>
    <n v="1"/>
    <x v="1"/>
    <x v="0"/>
    <n v="0"/>
    <n v="0"/>
    <n v="3"/>
    <n v="3"/>
    <x v="0"/>
    <x v="0"/>
    <n v="1516"/>
    <n v="1516"/>
    <n v="0"/>
    <n v="0"/>
    <n v="0"/>
    <n v="380"/>
    <n v="0"/>
    <n v="0"/>
    <n v="0"/>
    <n v="8"/>
    <n v="0"/>
    <n v="0"/>
    <s v="CP"/>
    <n v="1"/>
    <s v="BH"/>
    <s v="E"/>
    <n v="0"/>
    <n v="3"/>
    <n v="0"/>
    <n v="0"/>
    <n v="100"/>
    <d v="2020-09-10T00:00:00"/>
    <n v="18200"/>
    <n v="224683"/>
    <n v="242900"/>
    <n v="208080"/>
    <n v="843"/>
    <n v="23128.795382562545"/>
    <n v="29703.559000000001"/>
    <n v="36568"/>
    <n v="101774"/>
    <n v="-621.99329999999998"/>
    <n v="101985.730044"/>
    <n v="18410.08268"/>
    <n v="0"/>
    <n v="-56617.237229999999"/>
    <n v="23128.795382562545"/>
    <n v="231202.141194"/>
    <n v="0"/>
    <n v="254330.93657656253"/>
    <n v="1.2222747817020498"/>
    <n v="0.99049976351917957"/>
    <n v="0.99135053432734199"/>
    <n v="0.99951026660104636"/>
    <n v="0.97860968051050168"/>
    <n v="23128.795382562545"/>
    <n v="228888.39992470859"/>
    <n v="0"/>
    <n v="252017.19530727115"/>
    <n v="1.2111553023225257"/>
    <n v="43937.195307271148"/>
    <n v="1930477131.4692898"/>
  </r>
  <r>
    <n v="21102231417"/>
    <n v="0.18"/>
    <n v="7968"/>
    <n v="0"/>
    <s v="GR"/>
    <s v="GR"/>
    <n v="3"/>
    <s v="RES"/>
    <n v="357600"/>
    <n v="27400"/>
    <n v="0.18"/>
    <n v="0"/>
    <n v="0"/>
    <n v="0"/>
    <n v="47108.068500000001"/>
    <n v="122297.704"/>
    <n v="41516.862185753198"/>
    <s v="CP"/>
    <n v="1"/>
    <x v="0"/>
    <x v="0"/>
    <n v="0"/>
    <n v="0"/>
    <n v="3"/>
    <n v="3"/>
    <x v="0"/>
    <x v="0"/>
    <n v="1902"/>
    <n v="1902"/>
    <n v="0"/>
    <n v="0"/>
    <n v="0"/>
    <n v="480"/>
    <n v="0"/>
    <n v="0"/>
    <n v="0"/>
    <n v="8"/>
    <n v="0"/>
    <n v="0"/>
    <s v="CP"/>
    <n v="1"/>
    <s v="HP"/>
    <s v="E"/>
    <n v="1"/>
    <n v="3"/>
    <n v="0"/>
    <n v="0"/>
    <n v="100"/>
    <d v="2020-03-13T00:00:00"/>
    <n v="20900"/>
    <n v="310469"/>
    <n v="331400"/>
    <n v="329900"/>
    <n v="1024"/>
    <n v="24732.8735234085"/>
    <n v="29703.559000000001"/>
    <n v="56414"/>
    <n v="101774"/>
    <n v="-621.99329999999998"/>
    <n v="127953.07291799999"/>
    <n v="23254.841280000001"/>
    <n v="0"/>
    <n v="-68773.488639999996"/>
    <n v="24732.8735234085"/>
    <n v="269703.99125799997"/>
    <n v="0"/>
    <n v="294436.86478140845"/>
    <n v="0.89250337914946487"/>
    <n v="0.98791809110152173"/>
    <n v="0.99135053432734199"/>
    <n v="0.99951026660104636"/>
    <n v="0.97860968051050168"/>
    <n v="24732.8735234085"/>
    <n v="266830.87324323703"/>
    <n v="0"/>
    <n v="291563.74676664552"/>
    <n v="0.88379432181462725"/>
    <n v="-38336.25323335448"/>
    <n v="1469668311.9718819"/>
  </r>
  <r>
    <n v="21101641566"/>
    <n v="0.14000000000000001"/>
    <n v="6100"/>
    <n v="0"/>
    <s v="GR"/>
    <s v="GR"/>
    <n v="3"/>
    <s v="RES"/>
    <n v="230800"/>
    <n v="25900"/>
    <n v="0.14000000000000001"/>
    <n v="0"/>
    <n v="0"/>
    <n v="0"/>
    <n v="47108.068500000001"/>
    <n v="122297.704"/>
    <n v="29677.924883257932"/>
    <s v="CO"/>
    <n v="1"/>
    <x v="1"/>
    <x v="0"/>
    <n v="0"/>
    <n v="0"/>
    <n v="3"/>
    <n v="3"/>
    <x v="0"/>
    <x v="1"/>
    <n v="1320"/>
    <n v="1320"/>
    <n v="0"/>
    <n v="0"/>
    <n v="0"/>
    <n v="0"/>
    <n v="0"/>
    <n v="0"/>
    <n v="0"/>
    <n v="8"/>
    <n v="0"/>
    <n v="0"/>
    <s v="CP"/>
    <n v="1"/>
    <s v="HP"/>
    <s v="E"/>
    <n v="1"/>
    <n v="3"/>
    <n v="0"/>
    <n v="0"/>
    <n v="100"/>
    <d v="2020-03-18T00:00:00"/>
    <n v="19700"/>
    <n v="195777"/>
    <n v="215500"/>
    <n v="227100"/>
    <n v="1019"/>
    <n v="17680.053933043157"/>
    <n v="29703.559000000001"/>
    <n v="36568"/>
    <n v="101774"/>
    <n v="-621.99329999999998"/>
    <n v="88800.239879999994"/>
    <n v="0"/>
    <n v="0"/>
    <n v="-68437.680589999989"/>
    <n v="17680.053933043157"/>
    <n v="187786.12498999998"/>
    <n v="0"/>
    <n v="205466.17892304313"/>
    <n v="0.9047387887408328"/>
    <n v="0.99049976351917957"/>
    <n v="0.99135053432734199"/>
    <n v="0.99951026660104636"/>
    <n v="0.99870227473851148"/>
    <n v="17680.053933043157"/>
    <n v="186850.1444468628"/>
    <n v="0"/>
    <n v="204530.19837990595"/>
    <n v="0.90061734205154531"/>
    <n v="-22569.801620094047"/>
    <n v="509395945.1703999"/>
  </r>
  <r>
    <n v="21101613408"/>
    <n v="0.56999999999999995"/>
    <n v="0"/>
    <n v="0"/>
    <s v="GR"/>
    <s v="GR"/>
    <n v="3"/>
    <s v="RES"/>
    <n v="314800"/>
    <n v="32000"/>
    <n v="0.56999999999999995"/>
    <n v="0"/>
    <n v="0"/>
    <n v="0"/>
    <n v="47108.068500000001"/>
    <n v="122297.704"/>
    <n v="95817.367498477077"/>
    <s v="CP"/>
    <n v="1"/>
    <x v="0"/>
    <x v="0"/>
    <n v="0"/>
    <n v="0"/>
    <n v="3"/>
    <n v="3"/>
    <x v="0"/>
    <x v="0"/>
    <n v="1740"/>
    <n v="1740"/>
    <n v="0"/>
    <n v="0"/>
    <n v="0"/>
    <n v="540"/>
    <n v="0"/>
    <n v="0"/>
    <n v="0"/>
    <n v="9"/>
    <n v="0"/>
    <n v="0"/>
    <s v="CP"/>
    <n v="1"/>
    <s v="HP"/>
    <s v="E"/>
    <n v="1"/>
    <n v="3"/>
    <n v="0"/>
    <n v="0"/>
    <n v="100"/>
    <d v="2020-03-26T00:00:00"/>
    <n v="23800"/>
    <n v="295752"/>
    <n v="319600"/>
    <n v="300000"/>
    <n v="1011"/>
    <n v="57081.35699376175"/>
    <n v="29703.559000000001"/>
    <n v="56414"/>
    <n v="101774"/>
    <n v="-621.99329999999998"/>
    <n v="117054.86166"/>
    <n v="26161.69644"/>
    <n v="0"/>
    <n v="-67900.387709999995"/>
    <n v="57081.35699376175"/>
    <n v="262585.73608999996"/>
    <n v="0"/>
    <n v="319667.09308376169"/>
    <n v="1.0655569769458724"/>
    <n v="0.98791809110152173"/>
    <n v="0.99135053432734199"/>
    <n v="0.99951026660104636"/>
    <n v="0.97860968051050168"/>
    <n v="57081.35699376175"/>
    <n v="259788.44782866957"/>
    <n v="0"/>
    <n v="316869.8048224313"/>
    <n v="1.0562326827414377"/>
    <n v="16869.804822431295"/>
    <n v="284590314.74692619"/>
  </r>
  <r>
    <n v="21101613407"/>
    <n v="0.56999999999999995"/>
    <n v="0"/>
    <n v="0"/>
    <s v="GR"/>
    <s v="GR"/>
    <n v="3"/>
    <s v="RES"/>
    <n v="296800"/>
    <n v="32000"/>
    <n v="0.56999999999999995"/>
    <n v="0"/>
    <n v="0"/>
    <n v="0"/>
    <n v="47108.068500000001"/>
    <n v="122297.704"/>
    <n v="95817.367498477077"/>
    <s v="CP"/>
    <n v="1"/>
    <x v="1"/>
    <x v="0"/>
    <n v="0"/>
    <n v="0"/>
    <n v="3"/>
    <n v="3"/>
    <x v="0"/>
    <x v="0"/>
    <n v="1822"/>
    <n v="1822"/>
    <n v="0"/>
    <n v="0"/>
    <n v="0"/>
    <n v="540"/>
    <n v="0"/>
    <n v="0"/>
    <n v="0"/>
    <n v="9"/>
    <n v="0"/>
    <n v="0"/>
    <s v="CP"/>
    <n v="1"/>
    <s v="HP"/>
    <s v="E"/>
    <n v="1"/>
    <n v="3"/>
    <n v="0"/>
    <n v="0"/>
    <n v="100"/>
    <d v="2020-03-30T00:00:00"/>
    <n v="23800"/>
    <n v="275275"/>
    <n v="299100"/>
    <n v="312000"/>
    <n v="1007"/>
    <n v="57081.35699376175"/>
    <n v="29703.559000000001"/>
    <n v="36568"/>
    <n v="101774"/>
    <n v="-621.99329999999998"/>
    <n v="122571.240198"/>
    <n v="26161.69644"/>
    <n v="0"/>
    <n v="-67631.741269999999"/>
    <n v="57081.35699376175"/>
    <n v="248524.76106799999"/>
    <n v="0"/>
    <n v="305606.11806176172"/>
    <n v="0.9795067886594927"/>
    <n v="0.99049976351917957"/>
    <n v="0.99135053432734199"/>
    <n v="0.99951026660104636"/>
    <n v="0.97860968051050168"/>
    <n v="57081.35699376175"/>
    <n v="246037.66474114842"/>
    <n v="0"/>
    <n v="303119.02173491014"/>
    <n v="0.97153532607342996"/>
    <n v="-8880.978265089856"/>
    <n v="78871774.944998428"/>
  </r>
  <r>
    <n v="21102141407"/>
    <n v="0.16"/>
    <n v="0"/>
    <n v="0"/>
    <s v="GR"/>
    <s v="GR"/>
    <n v="3"/>
    <s v="RES"/>
    <n v="263800"/>
    <n v="25000"/>
    <n v="0.16"/>
    <n v="0"/>
    <n v="0"/>
    <n v="0"/>
    <n v="47108.068500000001"/>
    <n v="122297.704"/>
    <n v="35968.330873914325"/>
    <s v="RN"/>
    <n v="1"/>
    <x v="0"/>
    <x v="0"/>
    <n v="0"/>
    <n v="0"/>
    <n v="3"/>
    <n v="3"/>
    <x v="0"/>
    <x v="0"/>
    <n v="1600"/>
    <n v="1600"/>
    <n v="0"/>
    <n v="0"/>
    <n v="0"/>
    <n v="304"/>
    <n v="0"/>
    <n v="0"/>
    <n v="0"/>
    <n v="9"/>
    <n v="0"/>
    <n v="0"/>
    <s v="CP"/>
    <n v="1"/>
    <s v="HP"/>
    <s v="E"/>
    <n v="1"/>
    <n v="3"/>
    <n v="0"/>
    <n v="0"/>
    <n v="100"/>
    <d v="2020-04-03T00:00:00"/>
    <n v="17900"/>
    <n v="271392"/>
    <n v="289300"/>
    <n v="269900"/>
    <n v="1003"/>
    <n v="21427.44252618168"/>
    <n v="29703.559000000001"/>
    <n v="56414"/>
    <n v="101774"/>
    <n v="-621.99329999999998"/>
    <n v="107636.6544"/>
    <n v="14728.066144"/>
    <n v="0"/>
    <n v="-67363.094830000002"/>
    <n v="21427.44252618168"/>
    <n v="242271.191414"/>
    <n v="0"/>
    <n v="263698.63394018169"/>
    <n v="0.97702346772946158"/>
    <n v="0.98791809110152173"/>
    <n v="0.99135053432734199"/>
    <n v="0.99951026660104636"/>
    <n v="0.97860968051050168"/>
    <n v="21427.44252618168"/>
    <n v="239690.31108937858"/>
    <n v="0"/>
    <n v="261117.75361556024"/>
    <n v="0.96746111009840774"/>
    <n v="-8782.2463844397571"/>
    <n v="77127851.557005182"/>
  </r>
  <r>
    <n v="21102112495"/>
    <n v="0"/>
    <n v="8376"/>
    <n v="0"/>
    <s v="GR"/>
    <s v="GR"/>
    <n v="3"/>
    <s v="RES"/>
    <n v="202000"/>
    <n v="27800"/>
    <n v="0.19"/>
    <n v="0"/>
    <n v="0"/>
    <n v="0"/>
    <n v="47108.068500000001"/>
    <n v="122297.704"/>
    <n v="44063.864548957994"/>
    <s v="TD"/>
    <n v="1"/>
    <x v="1"/>
    <x v="0"/>
    <n v="0"/>
    <n v="0"/>
    <n v="3"/>
    <n v="3"/>
    <x v="0"/>
    <x v="1"/>
    <n v="1084"/>
    <n v="1084"/>
    <n v="0"/>
    <n v="0"/>
    <n v="0"/>
    <n v="0"/>
    <n v="0"/>
    <n v="0"/>
    <n v="0"/>
    <n v="5"/>
    <n v="0"/>
    <n v="0"/>
    <s v="CP"/>
    <n v="1"/>
    <s v="MH"/>
    <s v="E"/>
    <n v="1"/>
    <n v="3"/>
    <n v="0"/>
    <n v="0"/>
    <n v="100"/>
    <d v="2020-04-20T00:00:00"/>
    <n v="21200"/>
    <n v="156958"/>
    <n v="178200"/>
    <n v="227000"/>
    <n v="986"/>
    <n v="26250.201278842385"/>
    <n v="29703.559000000001"/>
    <n v="36568"/>
    <n v="101774"/>
    <n v="-621.99329999999998"/>
    <n v="72923.833356000003"/>
    <n v="0"/>
    <n v="0"/>
    <n v="-66221.34745999999"/>
    <n v="26250.201278842385"/>
    <n v="174126.051596"/>
    <n v="0"/>
    <n v="200376.25287484238"/>
    <n v="0.88271477037375501"/>
    <n v="0.99049976351917957"/>
    <n v="0.99135053432734199"/>
    <n v="0.99951026660104636"/>
    <n v="0.99870227473851148"/>
    <n v="26250.201278842385"/>
    <n v="173258.15682285937"/>
    <n v="0"/>
    <n v="199508.35810170174"/>
    <n v="0.87889144538194597"/>
    <n v="-27491.641898298258"/>
    <n v="755790374.26426828"/>
  </r>
  <r>
    <n v="21101613405"/>
    <n v="0.56999999999999995"/>
    <n v="0"/>
    <n v="0"/>
    <s v="GR"/>
    <s v="GR"/>
    <n v="3"/>
    <s v="RES"/>
    <n v="296000"/>
    <n v="32000"/>
    <n v="0.56999999999999995"/>
    <n v="0"/>
    <n v="0"/>
    <n v="0"/>
    <n v="47108.068500000001"/>
    <n v="122297.704"/>
    <n v="95817.367498477077"/>
    <s v="CP"/>
    <n v="1"/>
    <x v="1"/>
    <x v="0"/>
    <n v="0"/>
    <n v="0"/>
    <n v="3"/>
    <n v="3"/>
    <x v="0"/>
    <x v="0"/>
    <n v="1728"/>
    <n v="1728"/>
    <n v="0"/>
    <n v="0"/>
    <n v="0"/>
    <n v="624"/>
    <n v="0"/>
    <n v="0"/>
    <n v="0"/>
    <n v="9"/>
    <n v="0"/>
    <n v="0"/>
    <s v="CP"/>
    <n v="1"/>
    <s v="HP"/>
    <s v="E"/>
    <n v="1"/>
    <n v="3"/>
    <n v="0"/>
    <n v="0"/>
    <n v="100"/>
    <d v="2020-06-26T00:00:00"/>
    <n v="23800"/>
    <n v="270691"/>
    <n v="294500"/>
    <n v="316000"/>
    <n v="919"/>
    <n v="57081.35699376175"/>
    <n v="29703.559000000001"/>
    <n v="36568"/>
    <n v="101774"/>
    <n v="-621.99329999999998"/>
    <n v="116247.586752"/>
    <n v="30231.293664000001"/>
    <n v="0"/>
    <n v="-61721.519589999996"/>
    <n v="57081.35699376175"/>
    <n v="252180.92652600002"/>
    <n v="0"/>
    <n v="309262.28351976175"/>
    <n v="0.97867811240430935"/>
    <n v="0.99049976351917957"/>
    <n v="0.99135053432734199"/>
    <n v="0.99951026660104636"/>
    <n v="0.97860968051050168"/>
    <n v="57081.35699376175"/>
    <n v="249657.24134722931"/>
    <n v="0"/>
    <n v="306738.59834099107"/>
    <n v="0.97069176690187042"/>
    <n v="-9261.4016590089304"/>
    <n v="85773560.689493373"/>
  </r>
  <r>
    <n v="21102231415"/>
    <n v="0.18"/>
    <n v="7879"/>
    <n v="0"/>
    <s v="GR"/>
    <s v="GR"/>
    <n v="3"/>
    <s v="RES"/>
    <n v="349600"/>
    <n v="27400"/>
    <n v="0.18"/>
    <n v="0"/>
    <n v="0"/>
    <n v="0"/>
    <n v="47108.068500000001"/>
    <n v="122297.704"/>
    <n v="41516.862185753198"/>
    <s v="CP"/>
    <n v="1"/>
    <x v="2"/>
    <x v="0"/>
    <n v="0"/>
    <n v="0"/>
    <n v="3"/>
    <n v="3"/>
    <x v="0"/>
    <x v="0"/>
    <n v="1695"/>
    <n v="1695"/>
    <n v="0"/>
    <n v="0"/>
    <n v="0"/>
    <n v="552"/>
    <n v="0"/>
    <n v="0"/>
    <n v="0"/>
    <n v="9"/>
    <n v="0"/>
    <n v="0"/>
    <s v="CP"/>
    <n v="1"/>
    <s v="HP"/>
    <s v="E"/>
    <n v="1"/>
    <n v="3"/>
    <n v="0"/>
    <n v="0"/>
    <n v="100"/>
    <d v="2021-02-12T00:00:00"/>
    <n v="20900"/>
    <n v="333483"/>
    <n v="354400"/>
    <n v="310000"/>
    <n v="688"/>
    <n v="24732.8735234085"/>
    <n v="29703.559000000001"/>
    <n v="71767"/>
    <n v="101774"/>
    <n v="-621.99329999999998"/>
    <n v="114027.580755"/>
    <n v="26743.067472000002"/>
    <n v="0"/>
    <n v="-46207.187679999995"/>
    <n v="24732.8735234085"/>
    <n v="297186.02624700009"/>
    <n v="0"/>
    <n v="321918.89977040858"/>
    <n v="1.0384480637755116"/>
    <n v="0.992092799099482"/>
    <n v="0.99135053432734199"/>
    <n v="0.99951026660104636"/>
    <n v="0.97860968051050168"/>
    <n v="24732.8735234085"/>
    <n v="294330.31226730708"/>
    <n v="0"/>
    <n v="319063.18579071556"/>
    <n v="1.0292360831958567"/>
    <n v="9063.1857907155645"/>
    <n v="82141336.677028507"/>
  </r>
  <r>
    <n v="21102231417"/>
    <n v="0.18"/>
    <n v="7968"/>
    <n v="0"/>
    <s v="GR"/>
    <s v="GR"/>
    <n v="3"/>
    <s v="RES"/>
    <n v="357600"/>
    <n v="27400"/>
    <n v="0.18"/>
    <n v="0"/>
    <n v="0"/>
    <n v="0"/>
    <n v="47108.068500000001"/>
    <n v="122297.704"/>
    <n v="41516.862185753198"/>
    <s v="CP"/>
    <n v="1"/>
    <x v="2"/>
    <x v="0"/>
    <n v="0"/>
    <n v="0"/>
    <n v="3"/>
    <n v="3"/>
    <x v="0"/>
    <x v="0"/>
    <n v="1902"/>
    <n v="1902"/>
    <n v="0"/>
    <n v="0"/>
    <n v="0"/>
    <n v="480"/>
    <n v="0"/>
    <n v="0"/>
    <n v="0"/>
    <n v="8"/>
    <n v="0"/>
    <n v="0"/>
    <s v="CP"/>
    <n v="1"/>
    <s v="HP"/>
    <s v="E"/>
    <n v="1"/>
    <n v="3"/>
    <n v="0"/>
    <n v="0"/>
    <n v="100"/>
    <d v="2022-07-25T00:00:00"/>
    <n v="20900"/>
    <n v="363940"/>
    <n v="384800"/>
    <n v="387500"/>
    <n v="160"/>
    <n v="24732.8735234085"/>
    <n v="29703.559000000001"/>
    <n v="71767"/>
    <n v="101774"/>
    <n v="-621.99329999999998"/>
    <n v="127953.07291799999"/>
    <n v="23254.841280000001"/>
    <n v="0"/>
    <n v="-10745.857599999999"/>
    <n v="24732.8735234085"/>
    <n v="343084.62229799997"/>
    <n v="0"/>
    <n v="367817.49582140846"/>
    <n v="0.94920644082944117"/>
    <n v="0.992092799099482"/>
    <n v="0.99135053432734199"/>
    <n v="0.99951026660104636"/>
    <n v="0.97860968051050168"/>
    <n v="24732.8735234085"/>
    <n v="339787.8604532833"/>
    <n v="0"/>
    <n v="364520.73397669179"/>
    <n v="0.9406986683269466"/>
    <n v="-22979.266023308213"/>
    <n v="528046666.96996725"/>
  </r>
  <r>
    <n v="21102231421"/>
    <n v="0.17"/>
    <n v="7524"/>
    <n v="0"/>
    <s v="GR"/>
    <s v="GR"/>
    <n v="3"/>
    <s v="RES"/>
    <n v="337700"/>
    <n v="27100"/>
    <n v="0.17"/>
    <n v="0"/>
    <n v="0"/>
    <n v="0"/>
    <n v="47108.068500000001"/>
    <n v="122297.704"/>
    <n v="38824.239711229544"/>
    <s v="CP"/>
    <n v="1"/>
    <x v="0"/>
    <x v="0"/>
    <n v="0"/>
    <n v="0"/>
    <n v="4"/>
    <n v="4"/>
    <x v="0"/>
    <x v="0"/>
    <n v="1728"/>
    <n v="1728"/>
    <n v="0"/>
    <n v="0"/>
    <n v="0"/>
    <n v="572"/>
    <n v="0"/>
    <n v="0"/>
    <n v="0"/>
    <n v="9"/>
    <n v="0"/>
    <n v="0"/>
    <s v="CP"/>
    <n v="1"/>
    <s v="HP"/>
    <s v="E"/>
    <n v="1"/>
    <n v="3"/>
    <n v="0"/>
    <n v="0"/>
    <n v="100"/>
    <d v="2022-02-16T00:00:00"/>
    <n v="20600"/>
    <n v="301334"/>
    <n v="321900"/>
    <n v="365000"/>
    <n v="319"/>
    <n v="23128.795382562545"/>
    <n v="29703.559000000001"/>
    <n v="56414"/>
    <n v="101774"/>
    <n v="-829.32439999999997"/>
    <n v="116247.586752"/>
    <n v="27712.019192"/>
    <n v="0"/>
    <n v="-21424.55359"/>
    <n v="23128.795382562545"/>
    <n v="309597.28695399995"/>
    <n v="0"/>
    <n v="332726.08233656251"/>
    <n v="0.91157830777140414"/>
    <n v="0.98791809110152173"/>
    <n v="0.99135053432734199"/>
    <n v="0.99951026660104636"/>
    <n v="0.97860968051050168"/>
    <n v="23128.795382562545"/>
    <n v="306299.19137031853"/>
    <n v="0"/>
    <n v="329427.98675288109"/>
    <n v="0.90254242945994823"/>
    <n v="-35572.013247118914"/>
    <n v="1265368126.4532034"/>
  </r>
  <r>
    <n v="21102231422"/>
    <n v="0.18"/>
    <n v="7672"/>
    <n v="0"/>
    <s v="GR"/>
    <s v="GR"/>
    <n v="3"/>
    <s v="RES"/>
    <n v="353100"/>
    <n v="27400"/>
    <n v="0.18"/>
    <n v="0"/>
    <n v="0"/>
    <n v="0"/>
    <n v="47108.068500000001"/>
    <n v="122297.704"/>
    <n v="41516.862185753198"/>
    <s v="CP"/>
    <n v="1"/>
    <x v="2"/>
    <x v="0"/>
    <n v="0"/>
    <n v="0"/>
    <n v="4"/>
    <n v="4"/>
    <x v="0"/>
    <x v="0"/>
    <n v="1728"/>
    <n v="1728"/>
    <n v="0"/>
    <n v="0"/>
    <n v="0"/>
    <n v="572"/>
    <n v="0"/>
    <n v="0"/>
    <n v="0"/>
    <n v="9"/>
    <n v="0"/>
    <n v="0"/>
    <s v="CP"/>
    <n v="1"/>
    <s v="HP"/>
    <s v="E"/>
    <n v="1"/>
    <n v="3"/>
    <n v="0"/>
    <n v="0"/>
    <n v="100"/>
    <d v="2021-09-02T00:00:00"/>
    <n v="20700"/>
    <n v="340931"/>
    <n v="361600"/>
    <n v="350000"/>
    <n v="486"/>
    <n v="24732.8735234085"/>
    <n v="29703.559000000001"/>
    <n v="71767"/>
    <n v="101774"/>
    <n v="-829.32439999999997"/>
    <n v="116247.586752"/>
    <n v="27712.019192"/>
    <n v="0"/>
    <n v="-32640.542459999997"/>
    <n v="24732.8735234085"/>
    <n v="313734.29808400001"/>
    <n v="0"/>
    <n v="338467.1716074085"/>
    <n v="0.9670490617354528"/>
    <n v="0.992092799099482"/>
    <n v="0.99135053432734199"/>
    <n v="0.99951026660104636"/>
    <n v="0.97860968051050168"/>
    <n v="24732.8735234085"/>
    <n v="310719.56878376362"/>
    <n v="0"/>
    <n v="335452.44230717211"/>
    <n v="0.95843554944906317"/>
    <n v="-14547.55769282789"/>
    <n v="211631434.8261559"/>
  </r>
  <r>
    <n v="21101531406"/>
    <n v="0.17"/>
    <n v="7598"/>
    <n v="0"/>
    <s v="GR"/>
    <s v="GR"/>
    <n v="3"/>
    <s v="RES"/>
    <n v="324000"/>
    <n v="27100"/>
    <n v="0.17"/>
    <n v="0"/>
    <n v="0"/>
    <n v="0"/>
    <n v="47108.068500000001"/>
    <n v="122297.704"/>
    <n v="38824.239711229544"/>
    <s v="CP"/>
    <n v="1"/>
    <x v="2"/>
    <x v="0"/>
    <n v="0"/>
    <n v="0"/>
    <n v="4"/>
    <n v="4"/>
    <x v="0"/>
    <x v="1"/>
    <n v="1408"/>
    <n v="1408"/>
    <n v="0"/>
    <n v="0"/>
    <n v="0"/>
    <n v="504"/>
    <n v="0"/>
    <n v="0"/>
    <n v="0"/>
    <n v="9"/>
    <n v="0"/>
    <n v="0"/>
    <s v="CP"/>
    <n v="1"/>
    <s v="HP"/>
    <s v="E"/>
    <n v="1"/>
    <n v="3"/>
    <n v="0"/>
    <n v="0"/>
    <n v="100"/>
    <d v="2020-06-11T00:00:00"/>
    <n v="20700"/>
    <n v="286553"/>
    <n v="307300"/>
    <n v="259000"/>
    <n v="934"/>
    <n v="23128.795382562545"/>
    <n v="29703.559000000001"/>
    <n v="71767"/>
    <n v="101774"/>
    <n v="-829.32439999999997"/>
    <n v="94720.255871999994"/>
    <n v="24417.583343999999"/>
    <n v="0"/>
    <n v="-62728.943739999995"/>
    <n v="23128.795382562545"/>
    <n v="258824.13007599997"/>
    <n v="0"/>
    <n v="281952.9254585625"/>
    <n v="1.0886213338168436"/>
    <n v="0.992092799099482"/>
    <n v="0.99135053432734199"/>
    <n v="0.99951026660104636"/>
    <n v="0.99870227473851148"/>
    <n v="23128.795382562545"/>
    <n v="257637.15451210088"/>
    <n v="0"/>
    <n v="280765.94989466341"/>
    <n v="1.0840384165817121"/>
    <n v="21765.949894663412"/>
    <n v="473756574.81699818"/>
  </r>
  <r>
    <n v="21102112501"/>
    <n v="0"/>
    <n v="8401"/>
    <n v="0"/>
    <s v="GR"/>
    <s v="GR"/>
    <n v="3"/>
    <s v="RES"/>
    <n v="207400"/>
    <n v="27800"/>
    <n v="0.19"/>
    <n v="0"/>
    <n v="0"/>
    <n v="0"/>
    <n v="47108.068500000001"/>
    <n v="122297.704"/>
    <n v="44063.864548957994"/>
    <s v="TD"/>
    <n v="1"/>
    <x v="1"/>
    <x v="0"/>
    <n v="0"/>
    <n v="0"/>
    <n v="5"/>
    <n v="5"/>
    <x v="1"/>
    <x v="1"/>
    <n v="1080"/>
    <n v="1080"/>
    <n v="0"/>
    <n v="0"/>
    <n v="0"/>
    <n v="0"/>
    <n v="0"/>
    <n v="0"/>
    <n v="0"/>
    <n v="8"/>
    <n v="0"/>
    <n v="0"/>
    <s v="CP"/>
    <n v="1"/>
    <s v="MH"/>
    <s v="E"/>
    <n v="1"/>
    <n v="3"/>
    <n v="0"/>
    <n v="0"/>
    <n v="100"/>
    <d v="2020-04-03T00:00:00"/>
    <n v="21200"/>
    <n v="156103"/>
    <n v="177300"/>
    <n v="227000"/>
    <n v="1003"/>
    <n v="26250.201278842385"/>
    <n v="29703.559000000001"/>
    <n v="36568"/>
    <n v="101774"/>
    <n v="-1036.6554999999998"/>
    <n v="72654.741720000005"/>
    <n v="0"/>
    <n v="0"/>
    <n v="-67363.094830000002"/>
    <n v="26250.201278842385"/>
    <n v="172300.55038999999"/>
    <n v="0"/>
    <n v="198550.75166884236"/>
    <n v="0.8746729148407153"/>
    <n v="0.99049976351917957"/>
    <n v="0.99135053432734199"/>
    <n v="0.95532362136731586"/>
    <n v="0.99870227473851148"/>
    <n v="26250.201278842385"/>
    <n v="169538.40862122201"/>
    <n v="0"/>
    <n v="195788.60990006439"/>
    <n v="0.8625048894275964"/>
    <n v="-31211.390099935612"/>
    <n v="974150871.97035873"/>
  </r>
  <r>
    <n v="21102112499"/>
    <n v="0"/>
    <n v="8401"/>
    <n v="0"/>
    <s v="GR"/>
    <s v="GR"/>
    <n v="3"/>
    <s v="RES"/>
    <n v="207700"/>
    <n v="27800"/>
    <n v="0.19"/>
    <n v="0"/>
    <n v="0"/>
    <n v="0"/>
    <n v="47108.068500000001"/>
    <n v="122297.704"/>
    <n v="44063.864548957994"/>
    <s v="TD"/>
    <n v="1"/>
    <x v="1"/>
    <x v="0"/>
    <n v="0"/>
    <n v="0"/>
    <n v="5"/>
    <n v="5"/>
    <x v="1"/>
    <x v="1"/>
    <n v="1084"/>
    <n v="1084"/>
    <n v="0"/>
    <n v="0"/>
    <n v="0"/>
    <n v="0"/>
    <n v="0"/>
    <n v="0"/>
    <n v="0"/>
    <n v="8"/>
    <n v="0"/>
    <n v="0"/>
    <s v="CP"/>
    <n v="1"/>
    <s v="MH"/>
    <s v="E"/>
    <n v="1"/>
    <n v="3"/>
    <n v="0"/>
    <n v="0"/>
    <n v="100"/>
    <d v="2020-08-21T00:00:00"/>
    <n v="21200"/>
    <n v="157915"/>
    <n v="179100"/>
    <n v="219000"/>
    <n v="863"/>
    <n v="26250.201278842385"/>
    <n v="29703.559000000001"/>
    <n v="36568"/>
    <n v="101774"/>
    <n v="-1036.6554999999998"/>
    <n v="72923.833356000003"/>
    <n v="0"/>
    <n v="0"/>
    <n v="-57960.469429999997"/>
    <n v="26250.201278842385"/>
    <n v="181972.26742600003"/>
    <n v="0"/>
    <n v="208222.46870484241"/>
    <n v="0.95078752833261371"/>
    <n v="0.99049976351917957"/>
    <n v="0.99135053432734199"/>
    <n v="0.95532362136731586"/>
    <n v="0.99870227473851148"/>
    <n v="26250.201278842385"/>
    <n v="179055.07883038101"/>
    <n v="0"/>
    <n v="205305.28010922339"/>
    <n v="0.93746703246220719"/>
    <n v="-13694.719890776614"/>
    <n v="187545352.88683265"/>
  </r>
  <r>
    <n v="21101644473"/>
    <n v="0.14000000000000001"/>
    <n v="6000"/>
    <n v="0"/>
    <s v="GR"/>
    <s v="GR"/>
    <n v="3"/>
    <s v="RES"/>
    <n v="272800"/>
    <n v="24200"/>
    <n v="0.14000000000000001"/>
    <n v="0"/>
    <n v="0"/>
    <n v="0"/>
    <n v="47108.068500000001"/>
    <n v="122297.704"/>
    <n v="29677.924883257932"/>
    <s v="CP"/>
    <n v="2"/>
    <x v="0"/>
    <x v="0"/>
    <n v="0"/>
    <n v="0"/>
    <n v="5"/>
    <n v="5"/>
    <x v="1"/>
    <x v="0"/>
    <n v="1620"/>
    <n v="1080"/>
    <n v="540"/>
    <n v="0"/>
    <n v="0"/>
    <n v="0"/>
    <n v="0"/>
    <n v="0"/>
    <n v="0"/>
    <n v="11"/>
    <n v="0"/>
    <n v="0"/>
    <s v="CP"/>
    <n v="1"/>
    <s v="FD"/>
    <s v="E"/>
    <n v="1"/>
    <n v="3"/>
    <n v="0"/>
    <n v="0"/>
    <n v="100"/>
    <d v="2021-08-31T00:00:00"/>
    <n v="17300"/>
    <n v="265991"/>
    <n v="283300"/>
    <n v="195000"/>
    <n v="488"/>
    <n v="17680.053933043157"/>
    <n v="29703.559000000001"/>
    <n v="56414"/>
    <n v="101774"/>
    <n v="-1036.6554999999998"/>
    <n v="108982.11258"/>
    <n v="0"/>
    <n v="0"/>
    <n v="-32774.865679999995"/>
    <n v="17680.053933043157"/>
    <n v="263062.15040000004"/>
    <n v="0"/>
    <n v="280742.20433304319"/>
    <n v="1.4397036119643241"/>
    <n v="0.98791809110152173"/>
    <n v="0.99135053432734199"/>
    <n v="0.95532362136731586"/>
    <n v="0.97860968051050168"/>
    <n v="17680.053933043157"/>
    <n v="257353.82848668005"/>
    <n v="0"/>
    <n v="275033.8824197232"/>
    <n v="1.4104301662549907"/>
    <n v="80033.882419723202"/>
    <n v="6405422335.1740789"/>
  </r>
  <r>
    <n v="21102231441"/>
    <n v="1.52"/>
    <n v="0"/>
    <n v="0"/>
    <s v="GR"/>
    <s v="GR"/>
    <n v="3"/>
    <s v="RES"/>
    <n v="428400"/>
    <n v="40100"/>
    <n v="1.52"/>
    <n v="0"/>
    <n v="0"/>
    <n v="0"/>
    <n v="47108.068500000001"/>
    <n v="122297.704"/>
    <n v="142022.3391361573"/>
    <s v="CP"/>
    <n v="1"/>
    <x v="2"/>
    <x v="1"/>
    <n v="0"/>
    <n v="0"/>
    <n v="6"/>
    <n v="6"/>
    <x v="1"/>
    <x v="0"/>
    <n v="1964"/>
    <n v="1964"/>
    <n v="0"/>
    <n v="0"/>
    <n v="0"/>
    <n v="484"/>
    <n v="0"/>
    <n v="0"/>
    <n v="0"/>
    <n v="10"/>
    <n v="0"/>
    <n v="0"/>
    <s v="CP"/>
    <n v="1"/>
    <s v="HP"/>
    <s v="E"/>
    <n v="1"/>
    <n v="3"/>
    <n v="0"/>
    <n v="42700"/>
    <n v="100"/>
    <d v="2021-01-02T00:00:00"/>
    <n v="29100"/>
    <n v="415445"/>
    <n v="444500"/>
    <n v="399500"/>
    <n v="729"/>
    <n v="84607.081711454302"/>
    <n v="29703.559000000001"/>
    <n v="71767"/>
    <n v="80695"/>
    <n v="-1243.9866"/>
    <n v="132123.99327599999"/>
    <n v="23448.631624000001"/>
    <n v="0"/>
    <n v="-48960.813689999995"/>
    <n v="84607.081711454302"/>
    <n v="287533.38361000002"/>
    <n v="42700"/>
    <n v="414840.46532145434"/>
    <n v="1.0383991622564563"/>
    <n v="0.992092799099482"/>
    <n v="0.99484195314749324"/>
    <n v="0.95532362136731586"/>
    <n v="0.97860968051050168"/>
    <n v="84607.081711454302"/>
    <n v="281845.11457271461"/>
    <n v="42700"/>
    <n v="409152.19628416892"/>
    <n v="1.0241606915748909"/>
    <n v="9652.1962841689237"/>
    <n v="93164893.108124375"/>
  </r>
  <r>
    <n v="21102231434"/>
    <n v="0.23"/>
    <n v="9981"/>
    <n v="0"/>
    <s v="GR"/>
    <s v="GR"/>
    <n v="3"/>
    <s v="RES"/>
    <n v="355300"/>
    <n v="28900"/>
    <n v="0.23"/>
    <n v="0"/>
    <n v="0"/>
    <n v="0"/>
    <n v="47108.068500000001"/>
    <n v="122297.704"/>
    <n v="53064.107729659416"/>
    <s v="CP"/>
    <n v="1"/>
    <x v="2"/>
    <x v="0"/>
    <n v="0"/>
    <n v="0"/>
    <n v="8"/>
    <n v="8"/>
    <x v="1"/>
    <x v="0"/>
    <n v="1816"/>
    <n v="1816"/>
    <n v="0"/>
    <n v="0"/>
    <n v="0"/>
    <n v="506"/>
    <n v="0"/>
    <n v="0"/>
    <n v="120"/>
    <n v="10"/>
    <n v="0"/>
    <n v="0"/>
    <s v="CP"/>
    <n v="1"/>
    <s v="HP"/>
    <s v="E"/>
    <n v="1"/>
    <n v="3"/>
    <n v="0"/>
    <n v="0"/>
    <n v="100"/>
    <d v="2020-08-28T00:00:00"/>
    <n v="22000"/>
    <n v="350037"/>
    <n v="372000"/>
    <n v="340000"/>
    <n v="856"/>
    <n v="31611.923349076187"/>
    <n v="29703.559000000001"/>
    <n v="71767"/>
    <n v="101774"/>
    <n v="-1658.6487999999999"/>
    <n v="122167.602744"/>
    <n v="24514.478515999999"/>
    <n v="6517.8115199999993"/>
    <n v="-57490.338159999999"/>
    <n v="31611.923349076187"/>
    <n v="297295.46481999999"/>
    <n v="0"/>
    <n v="328907.38816907618"/>
    <n v="0.96737467108551822"/>
    <n v="0.992092799099482"/>
    <n v="0.99135053432734199"/>
    <n v="0.95532362136731586"/>
    <n v="0.97860968051050168"/>
    <n v="31611.923349076187"/>
    <n v="291154.57691697526"/>
    <n v="0"/>
    <n v="322766.50026605144"/>
    <n v="0.94931323607662188"/>
    <n v="-17233.499733948556"/>
    <n v="296993513.08000493"/>
  </r>
  <r>
    <n v="21101641577"/>
    <n v="0.14000000000000001"/>
    <n v="6300"/>
    <n v="0"/>
    <s v="GR"/>
    <s v="GR"/>
    <n v="3"/>
    <s v="RES"/>
    <n v="207900"/>
    <n v="25900"/>
    <n v="0.14000000000000001"/>
    <n v="0"/>
    <n v="0"/>
    <n v="0"/>
    <n v="47108.068500000001"/>
    <n v="122297.704"/>
    <n v="29677.924883257932"/>
    <s v="TD"/>
    <n v="1"/>
    <x v="3"/>
    <x v="1"/>
    <n v="0"/>
    <n v="0"/>
    <n v="9"/>
    <n v="9"/>
    <x v="1"/>
    <x v="1"/>
    <n v="1200"/>
    <n v="1200"/>
    <n v="0"/>
    <n v="0"/>
    <n v="0"/>
    <n v="0"/>
    <n v="0"/>
    <n v="0"/>
    <n v="0"/>
    <n v="5"/>
    <n v="0"/>
    <n v="0"/>
    <s v="CP"/>
    <n v="1"/>
    <s v="BH"/>
    <s v="E"/>
    <n v="0"/>
    <n v="3"/>
    <n v="0"/>
    <n v="0"/>
    <n v="100"/>
    <d v="2020-01-04T00:00:00"/>
    <n v="19900"/>
    <n v="146546"/>
    <n v="166400"/>
    <n v="155000"/>
    <n v="1093"/>
    <n v="17680.053933043157"/>
    <n v="29703.559000000001"/>
    <n v="34195"/>
    <n v="80695"/>
    <n v="-1865.9798999999998"/>
    <n v="80727.4908"/>
    <n v="0"/>
    <n v="0"/>
    <n v="-73407.639729999995"/>
    <n v="17680.053933043157"/>
    <n v="150047.43017000001"/>
    <n v="0"/>
    <n v="167727.48410304316"/>
    <n v="1.0821128006647946"/>
    <n v="0.98258795897788032"/>
    <n v="0.99484195314749324"/>
    <n v="0.95532362136731586"/>
    <n v="0.99870227473851148"/>
    <n v="17680.053933043157"/>
    <n v="147476.21021300301"/>
    <n v="0"/>
    <n v="165156.26414604616"/>
    <n v="1.0655242848132009"/>
    <n v="10156.26414604616"/>
    <n v="103149701.40426274"/>
  </r>
  <r>
    <n v="21101641579"/>
    <n v="0.15"/>
    <n v="6720"/>
    <n v="0"/>
    <s v="GR"/>
    <s v="GR"/>
    <n v="3"/>
    <s v="RES"/>
    <n v="186500"/>
    <n v="26300"/>
    <n v="0.15"/>
    <n v="0"/>
    <n v="0"/>
    <n v="0"/>
    <n v="47108.068500000001"/>
    <n v="122297.704"/>
    <n v="32928.045799276937"/>
    <s v="TD"/>
    <n v="1"/>
    <x v="3"/>
    <x v="2"/>
    <n v="0"/>
    <n v="0"/>
    <n v="10"/>
    <n v="10"/>
    <x v="1"/>
    <x v="1"/>
    <n v="1200"/>
    <n v="1200"/>
    <n v="0"/>
    <n v="0"/>
    <n v="0"/>
    <n v="0"/>
    <n v="0"/>
    <n v="0"/>
    <n v="0"/>
    <n v="5"/>
    <n v="0"/>
    <n v="0"/>
    <s v="CP"/>
    <n v="1"/>
    <s v="BH"/>
    <s v="E"/>
    <n v="0"/>
    <n v="3"/>
    <n v="0"/>
    <n v="0"/>
    <n v="100"/>
    <d v="2022-05-20T00:00:00"/>
    <n v="20200"/>
    <n v="145035"/>
    <n v="165200"/>
    <n v="225000"/>
    <n v="226"/>
    <n v="19616.251066439891"/>
    <n v="29703.559000000001"/>
    <n v="34195"/>
    <n v="94106"/>
    <n v="-2073.3109999999997"/>
    <n v="80727.4908"/>
    <n v="0"/>
    <n v="0"/>
    <n v="-15178.523859999999"/>
    <n v="19616.251066439891"/>
    <n v="221480.21494000003"/>
    <n v="0"/>
    <n v="241096.46600643994"/>
    <n v="1.0715398489175108"/>
    <n v="0.98258795897788032"/>
    <n v="1.0021009658305058"/>
    <n v="0.95532362136731586"/>
    <n v="0.99870227473851148"/>
    <n v="19616.251066439891"/>
    <n v="218086.85128086092"/>
    <n v="0"/>
    <n v="237703.10234730082"/>
    <n v="1.0564582326546703"/>
    <n v="12703.102347300824"/>
    <n v="161368809.24599972"/>
  </r>
  <r>
    <n v="21101641532"/>
    <n v="0.14000000000000001"/>
    <n v="6105"/>
    <n v="0"/>
    <s v="GR"/>
    <s v="GR"/>
    <n v="3"/>
    <s v="RES"/>
    <n v="209800"/>
    <n v="25900"/>
    <n v="0.14000000000000001"/>
    <n v="0"/>
    <n v="0"/>
    <n v="0"/>
    <n v="47108.068500000001"/>
    <n v="122297.704"/>
    <n v="29677.924883257932"/>
    <s v="TD"/>
    <n v="1"/>
    <x v="3"/>
    <x v="1"/>
    <n v="0"/>
    <n v="0"/>
    <n v="10"/>
    <n v="10"/>
    <x v="1"/>
    <x v="1"/>
    <n v="1200"/>
    <n v="1200"/>
    <n v="0"/>
    <n v="0"/>
    <n v="0"/>
    <n v="0"/>
    <n v="0"/>
    <n v="0"/>
    <n v="0"/>
    <n v="6"/>
    <n v="0"/>
    <n v="0"/>
    <s v="CP"/>
    <n v="1"/>
    <s v="BH"/>
    <s v="E"/>
    <n v="0"/>
    <n v="3"/>
    <n v="0"/>
    <n v="0"/>
    <n v="100"/>
    <d v="2022-04-12T00:00:00"/>
    <n v="19700"/>
    <n v="147513"/>
    <n v="167200"/>
    <n v="230000"/>
    <n v="264"/>
    <n v="17680.053933043157"/>
    <n v="29703.559000000001"/>
    <n v="34195"/>
    <n v="80695"/>
    <n v="-2073.3109999999997"/>
    <n v="80727.4908"/>
    <n v="0"/>
    <n v="0"/>
    <n v="-17730.66504"/>
    <n v="17680.053933043157"/>
    <n v="205517.07376000003"/>
    <n v="0"/>
    <n v="223197.12769304318"/>
    <n v="0.97042229431757898"/>
    <n v="0.98258795897788032"/>
    <n v="0.99484195314749324"/>
    <n v="0.95532362136731586"/>
    <n v="0.99870227473851148"/>
    <n v="17680.053933043157"/>
    <n v="201995.32333110805"/>
    <n v="0"/>
    <n v="219675.3772641512"/>
    <n v="0.95511033593109218"/>
    <n v="-10324.622735848796"/>
    <n v="106597834.63760588"/>
  </r>
  <r>
    <n v="21101641554"/>
    <n v="0.14000000000000001"/>
    <n v="6150"/>
    <n v="0"/>
    <s v="GR"/>
    <s v="GR"/>
    <n v="3"/>
    <s v="RES"/>
    <n v="188200"/>
    <n v="25900"/>
    <n v="0.14000000000000001"/>
    <n v="0"/>
    <n v="0"/>
    <n v="0"/>
    <n v="47108.068500000001"/>
    <n v="122297.704"/>
    <n v="29677.924883257932"/>
    <s v="TD"/>
    <n v="1"/>
    <x v="3"/>
    <x v="2"/>
    <n v="0"/>
    <n v="0"/>
    <n v="11"/>
    <n v="11"/>
    <x v="1"/>
    <x v="1"/>
    <n v="1200"/>
    <n v="1200"/>
    <n v="0"/>
    <n v="0"/>
    <n v="0"/>
    <n v="0"/>
    <n v="0"/>
    <n v="0"/>
    <n v="0"/>
    <n v="6"/>
    <n v="0"/>
    <n v="0"/>
    <s v="CP"/>
    <n v="1"/>
    <s v="BH"/>
    <s v="E"/>
    <n v="0"/>
    <n v="3"/>
    <n v="0"/>
    <n v="0"/>
    <n v="100"/>
    <d v="2021-10-28T00:00:00"/>
    <n v="19800"/>
    <n v="146808"/>
    <n v="166600"/>
    <n v="203000"/>
    <n v="430"/>
    <n v="17680.053933043157"/>
    <n v="29703.559000000001"/>
    <n v="34195"/>
    <n v="94106"/>
    <n v="-2280.6421"/>
    <n v="80727.4908"/>
    <n v="0"/>
    <n v="0"/>
    <n v="-28879.492299999998"/>
    <n v="17680.053933043157"/>
    <n v="207571.9154"/>
    <n v="0"/>
    <n v="225251.96933304315"/>
    <n v="1.109615612478045"/>
    <n v="0.98258795897788032"/>
    <n v="1.0021009658305058"/>
    <n v="0.95532362136731586"/>
    <n v="0.99870227473851148"/>
    <n v="17680.053933043157"/>
    <n v="204391.6448978828"/>
    <n v="0"/>
    <n v="222071.69883092595"/>
    <n v="1.0939492553247583"/>
    <n v="19071.698830925947"/>
    <n v="363729696.29754215"/>
  </r>
  <r>
    <n v="21101641576"/>
    <n v="0.14000000000000001"/>
    <n v="6300"/>
    <n v="0"/>
    <s v="GR"/>
    <s v="GR"/>
    <n v="3"/>
    <s v="RES"/>
    <n v="185200"/>
    <n v="25900"/>
    <n v="0.14000000000000001"/>
    <n v="0"/>
    <n v="0"/>
    <n v="0"/>
    <n v="47108.068500000001"/>
    <n v="122297.704"/>
    <n v="29677.924883257932"/>
    <s v="TD"/>
    <n v="1"/>
    <x v="3"/>
    <x v="2"/>
    <n v="0"/>
    <n v="0"/>
    <n v="13"/>
    <n v="13"/>
    <x v="1"/>
    <x v="1"/>
    <n v="1200"/>
    <n v="1200"/>
    <n v="0"/>
    <n v="0"/>
    <n v="0"/>
    <n v="0"/>
    <n v="0"/>
    <n v="0"/>
    <n v="0"/>
    <n v="5"/>
    <n v="0"/>
    <n v="0"/>
    <s v="CP"/>
    <n v="1"/>
    <s v="BH"/>
    <s v="E"/>
    <n v="0"/>
    <n v="3"/>
    <n v="0"/>
    <n v="0"/>
    <n v="100"/>
    <d v="2021-10-07T00:00:00"/>
    <n v="19900"/>
    <n v="145035"/>
    <n v="164900"/>
    <n v="215500"/>
    <n v="451"/>
    <n v="17680.053933043157"/>
    <n v="29703.559000000001"/>
    <n v="34195"/>
    <n v="94106"/>
    <n v="-2695.3042999999998"/>
    <n v="80727.4908"/>
    <n v="0"/>
    <n v="0"/>
    <n v="-30289.886109999999"/>
    <n v="17680.053933043157"/>
    <n v="205746.85939000003"/>
    <n v="0"/>
    <n v="223426.91332304318"/>
    <n v="1.0367838205245623"/>
    <n v="0.98258795897788032"/>
    <n v="1.0021009658305058"/>
    <n v="0.95532362136731586"/>
    <n v="0.99870227473851148"/>
    <n v="17680.053933043157"/>
    <n v="202594.55110898643"/>
    <n v="0"/>
    <n v="220274.60504202958"/>
    <n v="1.0221559398702069"/>
    <n v="4774.6050420295796"/>
    <n v="22796853.307374284"/>
  </r>
  <r>
    <n v="21101641575"/>
    <n v="0.14000000000000001"/>
    <n v="6300"/>
    <n v="0"/>
    <s v="GR"/>
    <s v="GR"/>
    <n v="3"/>
    <s v="RES"/>
    <n v="184700"/>
    <n v="25900"/>
    <n v="0.14000000000000001"/>
    <n v="0"/>
    <n v="0"/>
    <n v="0"/>
    <n v="47108.068500000001"/>
    <n v="122297.704"/>
    <n v="29677.924883257932"/>
    <s v="TD"/>
    <n v="1"/>
    <x v="3"/>
    <x v="2"/>
    <n v="0"/>
    <n v="0"/>
    <n v="14"/>
    <n v="14"/>
    <x v="1"/>
    <x v="1"/>
    <n v="1200"/>
    <n v="1200"/>
    <n v="0"/>
    <n v="0"/>
    <n v="0"/>
    <n v="0"/>
    <n v="0"/>
    <n v="0"/>
    <n v="0"/>
    <n v="5"/>
    <n v="0"/>
    <n v="0"/>
    <s v="CP"/>
    <n v="1"/>
    <s v="BH"/>
    <s v="E"/>
    <n v="0"/>
    <n v="3"/>
    <n v="0"/>
    <n v="0"/>
    <n v="100"/>
    <d v="2022-07-11T00:00:00"/>
    <n v="19900"/>
    <n v="143524"/>
    <n v="163400"/>
    <n v="230000"/>
    <n v="174"/>
    <n v="17680.053933043157"/>
    <n v="29703.559000000001"/>
    <n v="34195"/>
    <n v="94106"/>
    <n v="-2902.6354000000001"/>
    <n v="80727.4908"/>
    <n v="0"/>
    <n v="0"/>
    <n v="-11686.120139999999"/>
    <n v="17680.053933043157"/>
    <n v="224143.29426"/>
    <n v="0"/>
    <n v="241823.34819304314"/>
    <n v="1.0514058617088833"/>
    <n v="0.98258795897788032"/>
    <n v="1.0021009658305058"/>
    <n v="0.95532362136731586"/>
    <n v="0.99870227473851148"/>
    <n v="17680.053933043157"/>
    <n v="220709.1287775994"/>
    <n v="0"/>
    <n v="238389.18271064255"/>
    <n v="1.0364747074375762"/>
    <n v="8389.182710642548"/>
    <n v="70378386.552543849"/>
  </r>
  <r>
    <n v="21101531435"/>
    <n v="0.15"/>
    <n v="6700"/>
    <n v="0"/>
    <s v="GR"/>
    <s v="GR"/>
    <n v="3"/>
    <s v="RES"/>
    <n v="212400"/>
    <n v="26300"/>
    <n v="0.15"/>
    <n v="0"/>
    <n v="0"/>
    <n v="0"/>
    <n v="47108.068500000001"/>
    <n v="122297.704"/>
    <n v="32928.045799276937"/>
    <s v="RN"/>
    <n v="1"/>
    <x v="1"/>
    <x v="2"/>
    <n v="0"/>
    <n v="0"/>
    <n v="14"/>
    <n v="14"/>
    <x v="1"/>
    <x v="1"/>
    <n v="1104"/>
    <n v="1104"/>
    <n v="0"/>
    <n v="0"/>
    <n v="0"/>
    <n v="400"/>
    <n v="0"/>
    <n v="0"/>
    <n v="0"/>
    <n v="8"/>
    <n v="0"/>
    <n v="0"/>
    <s v="CP"/>
    <n v="1"/>
    <s v="BH"/>
    <s v="E"/>
    <n v="0"/>
    <n v="3"/>
    <n v="0"/>
    <n v="0"/>
    <n v="100"/>
    <d v="2020-11-05T00:00:00"/>
    <n v="20200"/>
    <n v="166833"/>
    <n v="187000"/>
    <n v="225000"/>
    <n v="787"/>
    <n v="19616.251066439891"/>
    <n v="29703.559000000001"/>
    <n v="36568"/>
    <n v="94106"/>
    <n v="-2902.6354000000001"/>
    <n v="74269.291536000004"/>
    <n v="19379.0344"/>
    <n v="0"/>
    <n v="-52856.18707"/>
    <n v="19616.251066439891"/>
    <n v="198267.06246600003"/>
    <n v="0"/>
    <n v="217883.31353243993"/>
    <n v="0.96837028236639966"/>
    <n v="0.99049976351917957"/>
    <n v="1.0021009658305058"/>
    <n v="0.95532362136731586"/>
    <n v="0.99870227473851148"/>
    <n v="19616.251066439891"/>
    <n v="195621.51691979176"/>
    <n v="0"/>
    <n v="215237.76798623166"/>
    <n v="0.95661230216102955"/>
    <n v="-9762.2320137683419"/>
    <n v="95301173.890643492"/>
  </r>
  <r>
    <n v="21101641515"/>
    <n v="0.14000000000000001"/>
    <n v="6100"/>
    <n v="0"/>
    <s v="GR"/>
    <s v="GR"/>
    <n v="3"/>
    <s v="RES"/>
    <n v="191200"/>
    <n v="25900"/>
    <n v="0.14000000000000001"/>
    <n v="0"/>
    <n v="0"/>
    <n v="0"/>
    <n v="47108.068500000001"/>
    <n v="122297.704"/>
    <n v="29677.924883257932"/>
    <s v="RN"/>
    <n v="1"/>
    <x v="1"/>
    <x v="2"/>
    <n v="0"/>
    <n v="0"/>
    <n v="15"/>
    <n v="15"/>
    <x v="2"/>
    <x v="1"/>
    <n v="1200"/>
    <n v="1200"/>
    <n v="0"/>
    <n v="0"/>
    <n v="0"/>
    <n v="0"/>
    <n v="0"/>
    <n v="0"/>
    <n v="0"/>
    <n v="8"/>
    <n v="0"/>
    <n v="0"/>
    <s v="CP"/>
    <n v="1"/>
    <s v="HP"/>
    <s v="E"/>
    <n v="1"/>
    <n v="3"/>
    <n v="0"/>
    <n v="0"/>
    <n v="100"/>
    <d v="2022-03-23T00:00:00"/>
    <n v="19700"/>
    <n v="168106"/>
    <n v="187800"/>
    <n v="275000"/>
    <n v="284"/>
    <n v="17680.053933043157"/>
    <n v="29703.559000000001"/>
    <n v="36568"/>
    <n v="94106"/>
    <n v="-3109.9665"/>
    <n v="80727.4908"/>
    <n v="0"/>
    <n v="0"/>
    <n v="-19073.897239999998"/>
    <n v="17680.053933043157"/>
    <n v="218921.18606000001"/>
    <n v="0"/>
    <n v="236601.23999304316"/>
    <n v="0.86036814542924789"/>
    <n v="0.99049976351917957"/>
    <n v="1.0021009658305058"/>
    <n v="1.0159161060824455"/>
    <n v="0.99870227473851148"/>
    <n v="17680.053933043157"/>
    <n v="219316.29010021372"/>
    <n v="0"/>
    <n v="236996.34403325687"/>
    <n v="0.86180488739366135"/>
    <n v="-38003.655966743128"/>
    <n v="1444277866.8385706"/>
  </r>
  <r>
    <n v="21101641547"/>
    <n v="0.14000000000000001"/>
    <n v="6009"/>
    <n v="0"/>
    <s v="GR"/>
    <s v="GR"/>
    <n v="3"/>
    <s v="RES"/>
    <n v="218400"/>
    <n v="25900"/>
    <n v="0.14000000000000001"/>
    <n v="0"/>
    <n v="0"/>
    <n v="0"/>
    <n v="47108.068500000001"/>
    <n v="122297.704"/>
    <n v="29677.924883257932"/>
    <s v="TD"/>
    <n v="1"/>
    <x v="1"/>
    <x v="2"/>
    <n v="0"/>
    <n v="0"/>
    <n v="16"/>
    <n v="16"/>
    <x v="2"/>
    <x v="1"/>
    <n v="1192"/>
    <n v="1192"/>
    <n v="0"/>
    <n v="0"/>
    <n v="0"/>
    <n v="264"/>
    <n v="0"/>
    <n v="0"/>
    <n v="0"/>
    <n v="8"/>
    <n v="0"/>
    <n v="0"/>
    <s v="CP"/>
    <n v="1"/>
    <s v="HP"/>
    <s v="E"/>
    <n v="1"/>
    <n v="3"/>
    <n v="0"/>
    <n v="0"/>
    <n v="100"/>
    <d v="2022-06-09T00:00:00"/>
    <n v="19600"/>
    <n v="174564"/>
    <n v="194200"/>
    <n v="225000"/>
    <n v="206"/>
    <n v="17680.053933043157"/>
    <n v="29703.559000000001"/>
    <n v="36568"/>
    <n v="94106"/>
    <n v="-3317.2975999999999"/>
    <n v="80189.307528000005"/>
    <n v="12790.162704"/>
    <n v="0"/>
    <n v="-13835.291659999999"/>
    <n v="17680.053933043157"/>
    <n v="236204.43997200002"/>
    <n v="0"/>
    <n v="253884.49390504317"/>
    <n v="1.1283755284668586"/>
    <n v="0.99049976351917957"/>
    <n v="1.0021009658305058"/>
    <n v="1.0159161060824455"/>
    <n v="0.99870227473851148"/>
    <n v="17680.053933043157"/>
    <n v="236630.73644073823"/>
    <n v="0"/>
    <n v="254310.79037378138"/>
    <n v="1.1302701794390284"/>
    <n v="29310.790373781376"/>
    <n v="859122432.33575499"/>
  </r>
  <r>
    <n v="21101641541"/>
    <n v="0.14000000000000001"/>
    <n v="6043"/>
    <n v="0"/>
    <s v="GR"/>
    <s v="GR"/>
    <n v="3"/>
    <s v="RES"/>
    <n v="268600"/>
    <n v="25900"/>
    <n v="0.14000000000000001"/>
    <n v="0"/>
    <n v="0"/>
    <n v="0"/>
    <n v="47108.068500000001"/>
    <n v="122297.704"/>
    <n v="29677.924883257932"/>
    <s v="TD"/>
    <n v="1"/>
    <x v="1"/>
    <x v="2"/>
    <n v="0"/>
    <n v="0"/>
    <n v="17"/>
    <n v="17"/>
    <x v="2"/>
    <x v="1"/>
    <n v="1482"/>
    <n v="1482"/>
    <n v="0"/>
    <n v="0"/>
    <n v="0"/>
    <n v="264"/>
    <n v="0"/>
    <n v="0"/>
    <n v="0"/>
    <n v="8"/>
    <n v="0"/>
    <n v="0"/>
    <s v="CP"/>
    <n v="1"/>
    <s v="HP"/>
    <s v="E"/>
    <n v="1"/>
    <n v="4"/>
    <n v="0"/>
    <n v="0"/>
    <n v="100"/>
    <d v="2020-07-17T00:00:00"/>
    <n v="19700"/>
    <n v="210047"/>
    <n v="229700"/>
    <n v="225000"/>
    <n v="898"/>
    <n v="17680.053933043157"/>
    <n v="29703.559000000001"/>
    <n v="36568"/>
    <n v="94106"/>
    <n v="-3524.6286999999998"/>
    <n v="99698.451138000004"/>
    <n v="12790.162704"/>
    <n v="0"/>
    <n v="-60311.125779999995"/>
    <n v="17680.053933043157"/>
    <n v="209030.41836200003"/>
    <n v="0"/>
    <n v="226710.47229504318"/>
    <n v="1.0076020990890808"/>
    <n v="0.99049976351917957"/>
    <n v="1.0021009658305058"/>
    <n v="1.0159161060824455"/>
    <n v="0.99870227473851148"/>
    <n v="17680.053933043157"/>
    <n v="209407.67176679272"/>
    <n v="0"/>
    <n v="227087.72569983586"/>
    <n v="1.0092787808881594"/>
    <n v="2087.7256998358644"/>
    <n v="4358598.5977551499"/>
  </r>
  <r>
    <n v="21101531403"/>
    <n v="0.2"/>
    <n v="8764"/>
    <n v="0"/>
    <s v="GR"/>
    <s v="GR"/>
    <n v="3"/>
    <s v="RES"/>
    <n v="221500"/>
    <n v="28000"/>
    <n v="0.2"/>
    <n v="0"/>
    <n v="0"/>
    <n v="0"/>
    <n v="47108.068500000001"/>
    <n v="122297.704"/>
    <n v="46480.192574557397"/>
    <s v="RN"/>
    <n v="1"/>
    <x v="0"/>
    <x v="2"/>
    <n v="0"/>
    <n v="0"/>
    <n v="18"/>
    <n v="18"/>
    <x v="2"/>
    <x v="1"/>
    <n v="1092"/>
    <n v="1092"/>
    <n v="0"/>
    <n v="0"/>
    <n v="0"/>
    <n v="273"/>
    <n v="0"/>
    <n v="0"/>
    <n v="0"/>
    <n v="8"/>
    <n v="0"/>
    <n v="0"/>
    <s v="CP"/>
    <n v="1"/>
    <s v="HP"/>
    <s v="E"/>
    <n v="1"/>
    <n v="3"/>
    <n v="0"/>
    <n v="0"/>
    <n v="100"/>
    <d v="2021-10-08T00:00:00"/>
    <n v="21400"/>
    <n v="187229"/>
    <n v="208600"/>
    <n v="287000"/>
    <n v="450"/>
    <n v="27689.682306595139"/>
    <n v="29703.559000000001"/>
    <n v="56414"/>
    <n v="94106"/>
    <n v="-3731.9597999999996"/>
    <n v="73462.016627999998"/>
    <n v="13226.190978000001"/>
    <n v="0"/>
    <n v="-30222.724499999997"/>
    <n v="27689.682306595139"/>
    <n v="232957.082306"/>
    <n v="0"/>
    <n v="260646.76461259514"/>
    <n v="0.90817688018325837"/>
    <n v="0.98791809110152173"/>
    <n v="1.0021009658305058"/>
    <n v="1.0159161060824455"/>
    <n v="0.99870227473851148"/>
    <n v="27689.682306595139"/>
    <n v="233227.16329807776"/>
    <n v="0"/>
    <n v="260916.84560467291"/>
    <n v="0.90911792893614252"/>
    <n v="-26083.154395327088"/>
    <n v="680330943.2104708"/>
  </r>
  <r>
    <n v="21102231401"/>
    <n v="0.42"/>
    <n v="0"/>
    <n v="0"/>
    <s v="GR"/>
    <s v="GR"/>
    <n v="3"/>
    <s v="RES"/>
    <n v="481500"/>
    <n v="32400"/>
    <n v="0.42"/>
    <n v="0"/>
    <n v="0"/>
    <n v="0"/>
    <n v="47108.068500000001"/>
    <n v="122297.704"/>
    <n v="81431.427832777015"/>
    <s v="CU"/>
    <n v="1"/>
    <x v="4"/>
    <x v="1"/>
    <n v="0"/>
    <n v="0"/>
    <n v="19"/>
    <n v="19"/>
    <x v="2"/>
    <x v="2"/>
    <n v="2888"/>
    <n v="1454"/>
    <n v="0"/>
    <n v="1434"/>
    <n v="52"/>
    <n v="683"/>
    <n v="0"/>
    <n v="207"/>
    <n v="0"/>
    <n v="13"/>
    <n v="0"/>
    <n v="0"/>
    <s v="CP"/>
    <n v="1"/>
    <s v="HP"/>
    <s v="E"/>
    <n v="1"/>
    <n v="4"/>
    <n v="0"/>
    <n v="0"/>
    <n v="100"/>
    <d v="2021-01-06T00:00:00"/>
    <n v="25200"/>
    <n v="399234"/>
    <n v="424400"/>
    <n v="428000"/>
    <n v="725"/>
    <n v="48511.209647962518"/>
    <n v="29703.559000000001"/>
    <n v="94366"/>
    <n v="80695"/>
    <n v="-3939.2909"/>
    <n v="194284.161192"/>
    <n v="33089.701238000001"/>
    <n v="0"/>
    <n v="-48692.167249999999"/>
    <n v="48511.209647962518"/>
    <n v="379506.96328000003"/>
    <n v="0"/>
    <n v="428018.17292796256"/>
    <n v="1.0000424601120621"/>
    <n v="0.99995754169072248"/>
    <n v="0.99484195314749324"/>
    <n v="1.0159161060824455"/>
    <n v="0.99995754169072248"/>
    <n v="48511.209647962518"/>
    <n v="380519.59626527521"/>
    <n v="0"/>
    <n v="429030.80591323774"/>
    <n v="1.0024084250309293"/>
    <n v="1030.8059132377384"/>
    <n v="1062560.8307658879"/>
  </r>
  <r>
    <n v="21102234404"/>
    <n v="0.41"/>
    <n v="0"/>
    <n v="0"/>
    <s v="GR"/>
    <s v="GR"/>
    <n v="3"/>
    <s v="RES"/>
    <n v="455900"/>
    <n v="31600"/>
    <n v="0.41"/>
    <n v="0"/>
    <n v="0"/>
    <n v="0"/>
    <n v="47108.068500000001"/>
    <n v="122297.704"/>
    <n v="80296.23872230835"/>
    <s v="CU"/>
    <n v="1"/>
    <x v="5"/>
    <x v="1"/>
    <n v="0"/>
    <n v="0"/>
    <n v="19"/>
    <n v="19"/>
    <x v="2"/>
    <x v="3"/>
    <n v="2311"/>
    <n v="2311"/>
    <n v="0"/>
    <n v="0"/>
    <n v="0"/>
    <n v="704"/>
    <n v="0"/>
    <n v="0"/>
    <n v="1205"/>
    <n v="18"/>
    <n v="0"/>
    <n v="0"/>
    <s v="CL"/>
    <n v="1"/>
    <s v="FD"/>
    <s v="E"/>
    <n v="1"/>
    <n v="3"/>
    <n v="0"/>
    <n v="0"/>
    <n v="100"/>
    <d v="2021-05-29T00:00:00"/>
    <n v="60000"/>
    <n v="711594"/>
    <n v="771600"/>
    <n v="592000"/>
    <n v="582"/>
    <n v="47834.942531031731"/>
    <n v="29703.559000000001"/>
    <n v="221767"/>
    <n v="80695"/>
    <n v="-3939.2909"/>
    <n v="155467.69269900001"/>
    <n v="34107.100544000001"/>
    <n v="65449.69068"/>
    <n v="-39088.05702"/>
    <n v="47834.942531031731"/>
    <n v="544162.69500300009"/>
    <n v="0"/>
    <n v="591997.63753403188"/>
    <n v="0.99999600934802679"/>
    <n v="1.0000039906678986"/>
    <n v="0.99484195314749324"/>
    <n v="1.0159161060824455"/>
    <n v="1.0000039906678986"/>
    <n v="47834.942531031731"/>
    <n v="545627.31441519072"/>
    <n v="0"/>
    <n v="593462.25694622239"/>
    <n v="1.0024700286253756"/>
    <n v="1462.256946222391"/>
    <n v="2138195.3767756326"/>
  </r>
  <r>
    <n v="21101531422"/>
    <n v="0.15"/>
    <n v="6699"/>
    <n v="0"/>
    <s v="GR"/>
    <s v="GR"/>
    <n v="3"/>
    <s v="RES"/>
    <n v="208200"/>
    <n v="26300"/>
    <n v="0.15"/>
    <n v="0"/>
    <n v="0"/>
    <n v="0"/>
    <n v="47108.068500000001"/>
    <n v="122297.704"/>
    <n v="32928.045799276937"/>
    <s v="RN"/>
    <n v="1"/>
    <x v="1"/>
    <x v="2"/>
    <n v="0"/>
    <n v="0"/>
    <n v="21"/>
    <n v="21"/>
    <x v="2"/>
    <x v="1"/>
    <n v="1160"/>
    <n v="1160"/>
    <n v="0"/>
    <n v="0"/>
    <n v="0"/>
    <n v="325"/>
    <n v="0"/>
    <n v="0"/>
    <n v="100"/>
    <n v="8"/>
    <n v="0"/>
    <n v="0"/>
    <s v="CP"/>
    <n v="1"/>
    <s v="HP"/>
    <s v="E"/>
    <n v="1"/>
    <n v="3"/>
    <n v="0"/>
    <n v="0"/>
    <n v="100"/>
    <d v="2020-01-28T00:00:00"/>
    <n v="20200"/>
    <n v="178372"/>
    <n v="198600"/>
    <n v="188000"/>
    <n v="1069"/>
    <n v="19616.251066439891"/>
    <n v="29703.559000000001"/>
    <n v="36568"/>
    <n v="94106"/>
    <n v="-4353.9530999999997"/>
    <n v="78036.574439999997"/>
    <n v="15745.46545"/>
    <n v="5431.5095999999994"/>
    <n v="-71795.76109"/>
    <n v="19616.251066439891"/>
    <n v="183441.39429999999"/>
    <n v="0"/>
    <n v="203057.64536643989"/>
    <n v="1.0800938583321271"/>
    <n v="0.99049976351917957"/>
    <n v="1.0021009658305058"/>
    <n v="1.0159161060824455"/>
    <n v="0.99870227473851148"/>
    <n v="19616.251066439891"/>
    <n v="183772.46520882696"/>
    <n v="0"/>
    <n v="203388.71627526687"/>
    <n v="1.081854873804611"/>
    <n v="15388.716275266866"/>
    <n v="236812588.60066333"/>
  </r>
  <r>
    <n v="21101531422"/>
    <n v="0.15"/>
    <n v="6699"/>
    <n v="0"/>
    <s v="GR"/>
    <s v="GR"/>
    <n v="3"/>
    <s v="RES"/>
    <n v="208200"/>
    <n v="26300"/>
    <n v="0.15"/>
    <n v="0"/>
    <n v="0"/>
    <n v="0"/>
    <n v="47108.068500000001"/>
    <n v="122297.704"/>
    <n v="32928.045799276937"/>
    <s v="RN"/>
    <n v="1"/>
    <x v="1"/>
    <x v="2"/>
    <n v="0"/>
    <n v="0"/>
    <n v="21"/>
    <n v="21"/>
    <x v="2"/>
    <x v="1"/>
    <n v="1160"/>
    <n v="1160"/>
    <n v="0"/>
    <n v="0"/>
    <n v="0"/>
    <n v="325"/>
    <n v="0"/>
    <n v="0"/>
    <n v="100"/>
    <n v="8"/>
    <n v="0"/>
    <n v="0"/>
    <s v="CP"/>
    <n v="1"/>
    <s v="HP"/>
    <s v="E"/>
    <n v="1"/>
    <n v="3"/>
    <n v="0"/>
    <n v="0"/>
    <n v="100"/>
    <d v="2021-08-23T00:00:00"/>
    <n v="20200"/>
    <n v="178372"/>
    <n v="198600"/>
    <n v="250000"/>
    <n v="496"/>
    <n v="19616.251066439891"/>
    <n v="29703.559000000001"/>
    <n v="36568"/>
    <n v="94106"/>
    <n v="-4353.9530999999997"/>
    <n v="78036.574439999997"/>
    <n v="15745.46545"/>
    <n v="5431.5095999999994"/>
    <n v="-33312.158559999996"/>
    <n v="19616.251066439891"/>
    <n v="221924.99682999996"/>
    <n v="0"/>
    <n v="241541.24789643986"/>
    <n v="0.96616499158575941"/>
    <n v="0.99049976351917957"/>
    <n v="1.0021009658305058"/>
    <n v="1.0159161060824455"/>
    <n v="0.99870227473851148"/>
    <n v="19616.251066439891"/>
    <n v="222325.52208043376"/>
    <n v="0"/>
    <n v="241941.77314687366"/>
    <n v="0.9677670925874946"/>
    <n v="-8058.2268531263398"/>
    <n v="64935020.016446434"/>
  </r>
  <r>
    <n v="21101531446"/>
    <n v="0.31"/>
    <n v="13603"/>
    <n v="0"/>
    <s v="GR"/>
    <s v="GR"/>
    <n v="3"/>
    <s v="RES"/>
    <n v="274400"/>
    <n v="30600"/>
    <n v="0.31"/>
    <n v="0"/>
    <n v="0"/>
    <n v="0"/>
    <n v="47108.068500000001"/>
    <n v="122297.704"/>
    <n v="67125.53588132502"/>
    <s v="RN"/>
    <n v="1"/>
    <x v="0"/>
    <x v="2"/>
    <n v="0"/>
    <n v="0"/>
    <n v="21"/>
    <n v="21"/>
    <x v="2"/>
    <x v="1"/>
    <n v="1368"/>
    <n v="1368"/>
    <n v="0"/>
    <n v="0"/>
    <n v="0"/>
    <n v="400"/>
    <n v="0"/>
    <n v="0"/>
    <n v="80"/>
    <n v="9"/>
    <n v="0"/>
    <n v="0"/>
    <s v="CP"/>
    <n v="1"/>
    <s v="FD"/>
    <s v="E"/>
    <n v="1"/>
    <n v="4"/>
    <n v="0"/>
    <n v="0"/>
    <n v="100"/>
    <d v="2022-04-18T00:00:00"/>
    <n v="23700"/>
    <n v="236984"/>
    <n v="260700"/>
    <n v="330000"/>
    <n v="258"/>
    <n v="39988.749191010458"/>
    <n v="29703.559000000001"/>
    <n v="56414"/>
    <n v="94106"/>
    <n v="-4353.9530999999997"/>
    <n v="92029.339511999991"/>
    <n v="19379.0344"/>
    <n v="4345.2076799999995"/>
    <n v="-17327.695379999997"/>
    <n v="39988.749191010458"/>
    <n v="274295.49211200001"/>
    <n v="0"/>
    <n v="314284.24130301049"/>
    <n v="0.95237648879700154"/>
    <n v="0.98791809110152173"/>
    <n v="1.0021009658305058"/>
    <n v="1.0159161060824455"/>
    <n v="0.99870227473851148"/>
    <n v="39988.749191010458"/>
    <n v="274613.49917964841"/>
    <n v="0"/>
    <n v="314602.24837065884"/>
    <n v="0.95334014657775401"/>
    <n v="-15397.751629341161"/>
    <n v="237090755.23887837"/>
  </r>
  <r>
    <n v="21102231402"/>
    <n v="0.5"/>
    <n v="0"/>
    <n v="0"/>
    <s v="GR"/>
    <s v="GR"/>
    <n v="3"/>
    <s v="RES"/>
    <n v="382900"/>
    <n v="33500"/>
    <n v="0.5"/>
    <n v="0"/>
    <n v="0"/>
    <n v="0"/>
    <n v="47108.068500000001"/>
    <n v="122297.704"/>
    <n v="89644.879137600219"/>
    <s v="CP"/>
    <n v="1"/>
    <x v="2"/>
    <x v="1"/>
    <n v="0"/>
    <n v="0"/>
    <n v="21"/>
    <n v="21"/>
    <x v="2"/>
    <x v="0"/>
    <n v="1950"/>
    <n v="1464"/>
    <n v="0"/>
    <n v="486"/>
    <n v="112"/>
    <n v="462"/>
    <n v="0"/>
    <n v="357"/>
    <n v="224"/>
    <n v="12"/>
    <n v="1"/>
    <n v="0"/>
    <s v="CP"/>
    <n v="1"/>
    <s v="HP"/>
    <s v="E"/>
    <n v="1"/>
    <n v="3"/>
    <n v="0"/>
    <n v="0"/>
    <n v="100"/>
    <d v="2020-06-04T00:00:00"/>
    <n v="26300"/>
    <n v="366344"/>
    <n v="392600"/>
    <n v="355000"/>
    <n v="941"/>
    <n v="53404.215564545892"/>
    <n v="29703.559000000001"/>
    <n v="71767"/>
    <n v="80695"/>
    <n v="-4353.9530999999997"/>
    <n v="131182.17254999999"/>
    <n v="22382.784732"/>
    <n v="12166.581504"/>
    <n v="-63199.075009999993"/>
    <n v="53404.215564545892"/>
    <n v="280344.06967599998"/>
    <n v="0"/>
    <n v="333748.28524054587"/>
    <n v="0.94013601476210107"/>
    <n v="0.992092799099482"/>
    <n v="0.99484195314749324"/>
    <n v="1.0159161060824455"/>
    <n v="0.97860968051050168"/>
    <n v="53404.215564545892"/>
    <n v="279044.71267819591"/>
    <n v="0"/>
    <n v="332448.92824274179"/>
    <n v="0.93647585420490642"/>
    <n v="-22551.071757258207"/>
    <n v="508550837.40100878"/>
  </r>
  <r>
    <n v="21102121476"/>
    <n v="0.3"/>
    <n v="13257"/>
    <n v="0"/>
    <s v="GR"/>
    <s v="GR"/>
    <n v="3"/>
    <s v="RES"/>
    <n v="213100"/>
    <n v="30400"/>
    <n v="0.3"/>
    <n v="0"/>
    <n v="0"/>
    <n v="0"/>
    <n v="47108.068500000001"/>
    <n v="122297.704"/>
    <n v="65580.870661676701"/>
    <s v="RN"/>
    <n v="1"/>
    <x v="1"/>
    <x v="2"/>
    <n v="0"/>
    <n v="0"/>
    <n v="29"/>
    <n v="29"/>
    <x v="3"/>
    <x v="1"/>
    <n v="1200"/>
    <n v="1200"/>
    <n v="0"/>
    <n v="0"/>
    <n v="0"/>
    <n v="0"/>
    <n v="0"/>
    <n v="0"/>
    <n v="408"/>
    <n v="8"/>
    <n v="0"/>
    <n v="0"/>
    <s v="CP"/>
    <n v="1"/>
    <s v="ER"/>
    <s v="E"/>
    <n v="0"/>
    <n v="3"/>
    <n v="0"/>
    <n v="32100"/>
    <n v="100"/>
    <d v="2022-05-18T00:00:00"/>
    <n v="23600"/>
    <n v="193651"/>
    <n v="217300"/>
    <n v="330000"/>
    <n v="228"/>
    <n v="39068.544543977194"/>
    <n v="29703.559000000001"/>
    <n v="36568"/>
    <n v="94106"/>
    <n v="-6012.6018999999997"/>
    <n v="80727.4908"/>
    <n v="0"/>
    <n v="22160.559168"/>
    <n v="-15312.84708"/>
    <n v="39068.544543977194"/>
    <n v="241940.159988"/>
    <n v="32100"/>
    <n v="313108.70453197719"/>
    <n v="0.94881425615750659"/>
    <n v="0.99049976351917957"/>
    <n v="1.0021009658305058"/>
    <n v="1.0539470644652671"/>
    <n v="0.99870227473851148"/>
    <n v="39068.544543977194"/>
    <n v="244677.1121943233"/>
    <n v="32100"/>
    <n v="315845.65673830052"/>
    <n v="0.95710805072212279"/>
    <n v="-14154.343261699483"/>
    <n v="200345433.17001757"/>
  </r>
  <r>
    <n v="21102232436"/>
    <n v="0.21"/>
    <n v="9247"/>
    <n v="0"/>
    <s v="GR"/>
    <s v="GR"/>
    <n v="3"/>
    <s v="RES"/>
    <n v="212600"/>
    <n v="28300"/>
    <n v="0.21"/>
    <n v="0"/>
    <n v="0"/>
    <n v="0"/>
    <n v="47108.068500000001"/>
    <n v="122297.704"/>
    <n v="48778.602970377236"/>
    <s v="CP"/>
    <n v="2"/>
    <x v="0"/>
    <x v="3"/>
    <n v="0"/>
    <n v="0"/>
    <n v="38"/>
    <n v="38"/>
    <x v="4"/>
    <x v="0"/>
    <n v="1681"/>
    <n v="1281"/>
    <n v="400"/>
    <n v="0"/>
    <n v="0"/>
    <n v="0"/>
    <n v="0"/>
    <n v="280"/>
    <n v="1464"/>
    <n v="8"/>
    <n v="0"/>
    <n v="0"/>
    <s v="CL"/>
    <n v="1"/>
    <s v="HP"/>
    <s v="E"/>
    <n v="1"/>
    <n v="3"/>
    <n v="0"/>
    <n v="0"/>
    <n v="100"/>
    <d v="2022-06-27T00:00:00"/>
    <n v="21600"/>
    <n v="244799"/>
    <n v="266400"/>
    <n v="315000"/>
    <n v="188"/>
    <n v="29058.916170425207"/>
    <n v="29703.559000000001"/>
    <n v="56414"/>
    <n v="33736"/>
    <n v="-7878.5817999999999"/>
    <n v="113085.760029"/>
    <n v="0"/>
    <n v="79517.300543999998"/>
    <n v="-12626.382679999999"/>
    <n v="29058.916170425207"/>
    <n v="291951.65509300004"/>
    <n v="0"/>
    <n v="321010.57126342523"/>
    <n v="1.0190811786140483"/>
    <n v="0.98791809110152173"/>
    <n v="0.97690308106385604"/>
    <n v="0.98127609555109363"/>
    <n v="0.97860968051050168"/>
    <n v="29058.916170425207"/>
    <n v="286456.17232246551"/>
    <n v="0"/>
    <n v="315515.0884928907"/>
    <n v="1.0016352015647323"/>
    <n v="515.08849289070349"/>
    <n v="265316.1555084163"/>
  </r>
  <r>
    <n v="21102121457"/>
    <n v="0.33"/>
    <n v="14364"/>
    <n v="0"/>
    <s v="GR"/>
    <s v="GR"/>
    <n v="3"/>
    <s v="RES"/>
    <n v="156300"/>
    <n v="31000"/>
    <n v="0.33"/>
    <n v="0"/>
    <n v="0"/>
    <n v="0"/>
    <n v="47108.068500000001"/>
    <n v="122297.704"/>
    <n v="70070.749140646163"/>
    <s v="RN"/>
    <n v="1"/>
    <x v="3"/>
    <x v="3"/>
    <n v="0"/>
    <n v="0"/>
    <n v="46"/>
    <n v="53"/>
    <x v="5"/>
    <x v="1"/>
    <n v="1482"/>
    <n v="1482"/>
    <n v="0"/>
    <n v="0"/>
    <n v="0"/>
    <n v="0"/>
    <n v="0"/>
    <n v="0"/>
    <n v="0"/>
    <n v="6"/>
    <n v="0"/>
    <n v="0"/>
    <s v="CP"/>
    <n v="1"/>
    <s v="FD"/>
    <s v="G"/>
    <n v="0"/>
    <n v="4"/>
    <n v="0"/>
    <n v="0"/>
    <n v="100"/>
    <d v="2021-10-12T00:00:00"/>
    <n v="23900"/>
    <n v="140298"/>
    <n v="164200"/>
    <n v="246500"/>
    <n v="446"/>
    <n v="41743.303442156452"/>
    <n v="29703.559000000001"/>
    <n v="34195"/>
    <n v="33736"/>
    <n v="-10988.5483"/>
    <n v="99698.451138000004"/>
    <n v="0"/>
    <n v="0"/>
    <n v="-29954.07806"/>
    <n v="41743.303442156452"/>
    <n v="156390.38377800002"/>
    <n v="0"/>
    <n v="198133.68722015648"/>
    <n v="0.80378777776939747"/>
    <n v="0.98258795897788032"/>
    <n v="0.97690308106385604"/>
    <n v="1.2441094871772171"/>
    <n v="0.99870227473851148"/>
    <n v="41743.303442156452"/>
    <n v="164299.93698737319"/>
    <n v="0"/>
    <n v="206043.24042952963"/>
    <n v="0.83587521472425808"/>
    <n v="-40456.759570470371"/>
    <n v="1636749394.9428461"/>
  </r>
  <r>
    <n v="21102121462"/>
    <n v="0.35"/>
    <n v="15176"/>
    <n v="0"/>
    <s v="GR"/>
    <s v="GR"/>
    <n v="3"/>
    <s v="RES"/>
    <n v="202900"/>
    <n v="31300"/>
    <n v="0.35"/>
    <n v="0"/>
    <n v="0"/>
    <n v="0"/>
    <n v="47108.068500000001"/>
    <n v="122297.704"/>
    <n v="72842.611446300754"/>
    <s v="RN"/>
    <n v="1"/>
    <x v="3"/>
    <x v="2"/>
    <n v="0"/>
    <n v="0"/>
    <n v="46"/>
    <n v="55"/>
    <x v="6"/>
    <x v="1"/>
    <n v="1482"/>
    <n v="1482"/>
    <n v="0"/>
    <n v="0"/>
    <n v="0"/>
    <n v="0"/>
    <n v="0"/>
    <n v="0"/>
    <n v="0"/>
    <n v="5"/>
    <n v="0"/>
    <n v="0"/>
    <s v="CP"/>
    <n v="1"/>
    <s v="FD"/>
    <s v="G"/>
    <n v="0"/>
    <n v="4"/>
    <n v="0"/>
    <n v="0"/>
    <n v="100"/>
    <d v="2022-06-16T00:00:00"/>
    <n v="24100"/>
    <n v="149357"/>
    <n v="173500"/>
    <n v="271000"/>
    <n v="199"/>
    <n v="43394.587190993909"/>
    <n v="29703.559000000001"/>
    <n v="34195"/>
    <n v="94106"/>
    <n v="-11403.210499999999"/>
    <n v="99698.451138000004"/>
    <n v="0"/>
    <n v="0"/>
    <n v="-13365.160389999999"/>
    <n v="43394.587190993909"/>
    <n v="232934.63924800002"/>
    <n v="0"/>
    <n v="276329.22643899394"/>
    <n v="1.0196650422103097"/>
    <n v="0.98258795897788032"/>
    <n v="1.0021009658305058"/>
    <n v="0.91891908169545067"/>
    <n v="0.99870227473851148"/>
    <n v="43394.587190993909"/>
    <n v="227245.80939873698"/>
    <n v="0"/>
    <n v="270640.39658973087"/>
    <n v="0.99867305014660834"/>
    <n v="-359.60341026913375"/>
    <n v="129314.61267719093"/>
  </r>
  <r>
    <n v="21102112437"/>
    <n v="0.24"/>
    <n v="10646"/>
    <n v="0"/>
    <s v="GR"/>
    <s v="GR"/>
    <n v="3"/>
    <s v="RES"/>
    <n v="231800"/>
    <n v="29100"/>
    <n v="0.24"/>
    <n v="0"/>
    <n v="0"/>
    <n v="0"/>
    <n v="47108.068500000001"/>
    <n v="122297.704"/>
    <n v="55069.008961033644"/>
    <s v="RN"/>
    <n v="1"/>
    <x v="2"/>
    <x v="3"/>
    <n v="0"/>
    <n v="0"/>
    <n v="47"/>
    <n v="58"/>
    <x v="6"/>
    <x v="1"/>
    <n v="1373"/>
    <n v="1373"/>
    <n v="0"/>
    <n v="0"/>
    <n v="0"/>
    <n v="800"/>
    <n v="0"/>
    <n v="0"/>
    <n v="68"/>
    <n v="8"/>
    <n v="0"/>
    <n v="1"/>
    <s v="CP"/>
    <n v="1"/>
    <s v="MH"/>
    <s v="E"/>
    <n v="1"/>
    <n v="3"/>
    <n v="0"/>
    <n v="0"/>
    <n v="100"/>
    <d v="2022-03-07T00:00:00"/>
    <n v="22400"/>
    <n v="234632"/>
    <n v="257000"/>
    <n v="240000"/>
    <n v="300"/>
    <n v="32806.304763563741"/>
    <n v="29703.559000000001"/>
    <n v="71767"/>
    <n v="33736"/>
    <n v="-12025.203799999999"/>
    <n v="92365.704056999995"/>
    <n v="38758.068800000001"/>
    <n v="3693.426528"/>
    <n v="-20148.483"/>
    <n v="32806.304763563741"/>
    <n v="237850.071585"/>
    <n v="0"/>
    <n v="270656.37634856376"/>
    <n v="1.127734901452349"/>
    <n v="0.992092799099482"/>
    <n v="0.97690308106385604"/>
    <n v="0.91891908169545067"/>
    <n v="0.99870227473851148"/>
    <n v="32806.304763563741"/>
    <n v="231108.04698704067"/>
    <n v="0"/>
    <n v="263914.3517506044"/>
    <n v="1.0996431322941851"/>
    <n v="23914.351750604401"/>
    <n v="571896219.65163577"/>
  </r>
  <r>
    <n v="21102232440"/>
    <n v="0.27"/>
    <n v="11953"/>
    <n v="0"/>
    <s v="GR"/>
    <s v="GR"/>
    <n v="3"/>
    <s v="RES"/>
    <n v="60400"/>
    <n v="29800"/>
    <n v="0.27"/>
    <n v="0"/>
    <n v="0"/>
    <n v="0"/>
    <n v="47108.068500000001"/>
    <n v="122297.704"/>
    <n v="60617.540272872509"/>
    <s v="RN"/>
    <n v="1"/>
    <x v="6"/>
    <x v="4"/>
    <n v="0"/>
    <n v="0"/>
    <n v="47"/>
    <n v="58"/>
    <x v="6"/>
    <x v="4"/>
    <n v="922"/>
    <n v="922"/>
    <n v="0"/>
    <n v="0"/>
    <n v="0"/>
    <n v="0"/>
    <n v="0"/>
    <n v="0"/>
    <n v="0"/>
    <n v="5"/>
    <n v="0"/>
    <n v="0"/>
    <s v="CP"/>
    <n v="1"/>
    <s v="BH"/>
    <s v="E"/>
    <n v="0"/>
    <n v="3"/>
    <n v="0"/>
    <n v="0"/>
    <n v="100"/>
    <d v="2020-04-01T00:00:00"/>
    <n v="22900"/>
    <n v="74588"/>
    <n v="97500"/>
    <n v="129900"/>
    <n v="1005"/>
    <n v="36111.735760790558"/>
    <n v="29703.559000000001"/>
    <n v="23737.786340274597"/>
    <n v="86727"/>
    <n v="-12025.203799999999"/>
    <n v="62025.622098"/>
    <n v="0"/>
    <n v="0"/>
    <n v="-67497.418049999993"/>
    <n v="36111.735760790558"/>
    <n v="122671.34558827461"/>
    <n v="0"/>
    <n v="158783.08134906518"/>
    <n v="1.2223485862129728"/>
    <n v="1.0179032724321755"/>
    <n v="1.0808650777425759"/>
    <n v="0.91891908169545067"/>
    <n v="1.0143477041964586"/>
    <n v="36111.735760790558"/>
    <n v="123653.79390012479"/>
    <n v="0"/>
    <n v="159765.52966091534"/>
    <n v="1.2299116986983476"/>
    <n v="29865.529660915345"/>
    <n v="891949861.92701423"/>
  </r>
  <r>
    <n v="21102112478"/>
    <n v="0.28999999999999998"/>
    <n v="12835"/>
    <n v="0"/>
    <s v="GR"/>
    <s v="GR"/>
    <n v="3"/>
    <s v="RES"/>
    <n v="179400"/>
    <n v="30200"/>
    <n v="0.28999999999999998"/>
    <n v="0"/>
    <n v="0"/>
    <n v="0"/>
    <n v="47108.068500000001"/>
    <n v="122297.704"/>
    <n v="63983.834043082417"/>
    <s v="RN"/>
    <n v="1"/>
    <x v="1"/>
    <x v="3"/>
    <n v="0"/>
    <n v="0"/>
    <n v="48"/>
    <n v="63"/>
    <x v="6"/>
    <x v="0"/>
    <n v="1714"/>
    <n v="1374"/>
    <n v="0"/>
    <n v="340"/>
    <n v="0"/>
    <n v="0"/>
    <n v="0"/>
    <n v="0"/>
    <n v="0"/>
    <n v="9"/>
    <n v="0"/>
    <n v="0"/>
    <s v="CP"/>
    <n v="1"/>
    <s v="FD"/>
    <s v="E"/>
    <n v="0"/>
    <n v="3"/>
    <n v="0"/>
    <n v="0"/>
    <n v="100"/>
    <d v="2020-01-31T00:00:00"/>
    <n v="23400"/>
    <n v="162186"/>
    <n v="185600"/>
    <n v="135000"/>
    <n v="1066"/>
    <n v="38117.140641552724"/>
    <n v="29703.559000000001"/>
    <n v="36568"/>
    <n v="33736"/>
    <n v="-13061.8593"/>
    <n v="115305.766026"/>
    <n v="0"/>
    <n v="0"/>
    <n v="-71594.276259999999"/>
    <n v="38117.140641552724"/>
    <n v="130657.18946600003"/>
    <n v="0"/>
    <n v="168774.33010755276"/>
    <n v="1.2501802230189094"/>
    <n v="0.99049976351917957"/>
    <n v="0.97690308106385604"/>
    <n v="0.91891908169545067"/>
    <n v="0.97860968051050168"/>
    <n v="38117.140641552724"/>
    <n v="126245.27530534018"/>
    <n v="0"/>
    <n v="164362.4159468929"/>
    <n v="1.2174993773843918"/>
    <n v="29362.415946892899"/>
    <n v="862151470.23835039"/>
  </r>
  <r>
    <n v="21101533008"/>
    <n v="0.22"/>
    <n v="9378"/>
    <n v="0"/>
    <s v="GR"/>
    <s v="GR"/>
    <n v="3"/>
    <s v="RES"/>
    <n v="173700"/>
    <n v="26700"/>
    <n v="0.22"/>
    <n v="0"/>
    <n v="0"/>
    <n v="0"/>
    <n v="47108.068500000001"/>
    <n v="122297.704"/>
    <n v="50970.071053526844"/>
    <s v="TD"/>
    <n v="1"/>
    <x v="3"/>
    <x v="3"/>
    <n v="0"/>
    <n v="0"/>
    <n v="50"/>
    <n v="73"/>
    <x v="7"/>
    <x v="0"/>
    <n v="1596"/>
    <n v="1596"/>
    <n v="0"/>
    <n v="0"/>
    <n v="0"/>
    <n v="0"/>
    <n v="0"/>
    <n v="0"/>
    <n v="0"/>
    <n v="8"/>
    <n v="0"/>
    <n v="0"/>
    <s v="CP"/>
    <n v="1"/>
    <s v="FD"/>
    <s v="G"/>
    <n v="1"/>
    <n v="4"/>
    <n v="0"/>
    <n v="9300"/>
    <n v="100"/>
    <d v="2020-12-23T00:00:00"/>
    <n v="19200"/>
    <n v="152248"/>
    <n v="171400"/>
    <n v="222000"/>
    <n v="739"/>
    <n v="30364.44120477439"/>
    <n v="29703.559000000001"/>
    <n v="34195"/>
    <n v="33736"/>
    <n v="-15135.1703"/>
    <n v="107367.562764"/>
    <n v="0"/>
    <n v="0"/>
    <n v="-49632.429789999995"/>
    <n v="30364.44120477439"/>
    <n v="140234.52167400002"/>
    <n v="9300"/>
    <n v="179898.96287877442"/>
    <n v="0.81035568864312801"/>
    <n v="0.98258795897788032"/>
    <n v="0.97690308106385604"/>
    <n v="1.0270382440255921"/>
    <n v="0.97860968051050168"/>
    <n v="30364.44120477439"/>
    <n v="139012.34151712793"/>
    <n v="9300"/>
    <n v="178676.78272190233"/>
    <n v="0.80485037262118164"/>
    <n v="-43323.217278097669"/>
    <n v="1876901155.3252604"/>
  </r>
  <r>
    <n v="21102141432"/>
    <n v="0.51"/>
    <n v="22312"/>
    <n v="0"/>
    <s v="GR"/>
    <s v="GR"/>
    <n v="3"/>
    <s v="RES"/>
    <n v="180300"/>
    <n v="31400"/>
    <n v="0.51"/>
    <n v="0"/>
    <n v="0"/>
    <n v="0"/>
    <n v="47108.068500000001"/>
    <n v="122297.704"/>
    <n v="90577.742660748627"/>
    <s v="RN"/>
    <n v="1"/>
    <x v="1"/>
    <x v="3"/>
    <n v="0"/>
    <n v="0"/>
    <n v="50"/>
    <n v="73"/>
    <x v="7"/>
    <x v="0"/>
    <n v="1896"/>
    <n v="1896"/>
    <n v="0"/>
    <n v="0"/>
    <n v="0"/>
    <n v="0"/>
    <n v="0"/>
    <n v="0"/>
    <n v="690"/>
    <n v="5"/>
    <n v="0"/>
    <n v="0"/>
    <s v="CP"/>
    <n v="1"/>
    <s v="HP"/>
    <s v="E"/>
    <n v="1"/>
    <n v="4"/>
    <n v="0"/>
    <n v="0"/>
    <n v="100"/>
    <d v="2021-08-19T00:00:00"/>
    <n v="23300"/>
    <n v="183350"/>
    <n v="206700"/>
    <n v="265000"/>
    <n v="500"/>
    <n v="53959.951097481906"/>
    <n v="29703.559000000001"/>
    <n v="36568"/>
    <n v="33736"/>
    <n v="-15135.1703"/>
    <n v="127549.43546399999"/>
    <n v="0"/>
    <n v="37477.416239999999"/>
    <n v="-33580.805"/>
    <n v="53959.951097481906"/>
    <n v="216318.43540399999"/>
    <n v="0"/>
    <n v="270278.38650148187"/>
    <n v="1.0199184396282335"/>
    <n v="0.99049976351917957"/>
    <n v="0.97690308106385604"/>
    <n v="1.0270382440255921"/>
    <n v="0.97860968051050168"/>
    <n v="53959.951097481906"/>
    <n v="214861.03153912723"/>
    <n v="0"/>
    <n v="268820.98263660911"/>
    <n v="1.0144188024022986"/>
    <n v="3820.9826366091147"/>
    <n v="14599908.309268342"/>
  </r>
  <r>
    <n v="21102121415"/>
    <n v="0.14000000000000001"/>
    <n v="6288"/>
    <n v="0"/>
    <s v="GR"/>
    <s v="GR"/>
    <n v="3"/>
    <s v="RES"/>
    <n v="179000"/>
    <n v="25900"/>
    <n v="0.14000000000000001"/>
    <n v="0"/>
    <n v="0"/>
    <n v="0"/>
    <n v="47108.068500000001"/>
    <n v="122297.704"/>
    <n v="29677.924883257932"/>
    <s v="TD"/>
    <n v="1"/>
    <x v="1"/>
    <x v="2"/>
    <n v="0"/>
    <n v="0"/>
    <n v="50"/>
    <n v="73"/>
    <x v="7"/>
    <x v="1"/>
    <n v="1500"/>
    <n v="1500"/>
    <n v="0"/>
    <n v="0"/>
    <n v="0"/>
    <n v="0"/>
    <n v="0"/>
    <n v="0"/>
    <n v="0"/>
    <n v="5"/>
    <n v="0"/>
    <n v="1"/>
    <s v="CP"/>
    <n v="1"/>
    <s v="FD"/>
    <s v="G"/>
    <n v="1"/>
    <n v="2"/>
    <n v="0"/>
    <n v="0"/>
    <n v="100"/>
    <d v="2020-04-01T00:00:00"/>
    <n v="19800"/>
    <n v="175538"/>
    <n v="195300"/>
    <n v="180000"/>
    <n v="1005"/>
    <n v="17680.053933043157"/>
    <n v="29703.559000000001"/>
    <n v="36568"/>
    <n v="94106"/>
    <n v="-15135.1703"/>
    <n v="100909.36349999999"/>
    <n v="0"/>
    <n v="0"/>
    <n v="-67497.418049999993"/>
    <n v="17680.053933043157"/>
    <n v="178654.33415000001"/>
    <n v="0"/>
    <n v="196334.38808304316"/>
    <n v="1.0907466004613509"/>
    <n v="0.99049976351917957"/>
    <n v="1.0021009658305058"/>
    <n v="1.0270382440255921"/>
    <n v="0.99870227473851148"/>
    <n v="17680.053933043157"/>
    <n v="179473.52001731226"/>
    <n v="0"/>
    <n v="197153.57395035541"/>
    <n v="1.0952976330575301"/>
    <n v="17153.573950355407"/>
    <n v="294245099.27031159"/>
  </r>
  <r>
    <n v="21101534010"/>
    <n v="0.59"/>
    <n v="25719"/>
    <n v="0"/>
    <s v="GR"/>
    <s v="GR"/>
    <n v="3"/>
    <s v="RES"/>
    <n v="53900"/>
    <n v="32200"/>
    <n v="0.59"/>
    <n v="0"/>
    <n v="0"/>
    <n v="0"/>
    <n v="47108.068500000001"/>
    <n v="122297.704"/>
    <n v="97441.944643140785"/>
    <s v="TD"/>
    <n v="1"/>
    <x v="6"/>
    <x v="3"/>
    <n v="0"/>
    <n v="0"/>
    <n v="51"/>
    <n v="83"/>
    <x v="8"/>
    <x v="4"/>
    <n v="696"/>
    <n v="696"/>
    <n v="0"/>
    <n v="0"/>
    <n v="0"/>
    <n v="0"/>
    <n v="0"/>
    <n v="0"/>
    <n v="222"/>
    <n v="5"/>
    <n v="0"/>
    <n v="0"/>
    <s v="CP"/>
    <n v="1"/>
    <s v="ER"/>
    <s v="E"/>
    <n v="0"/>
    <n v="2"/>
    <n v="0"/>
    <n v="3700"/>
    <n v="100"/>
    <d v="2020-02-24T00:00:00"/>
    <n v="24000"/>
    <n v="69239"/>
    <n v="93200"/>
    <n v="75000"/>
    <n v="1042"/>
    <n v="58049.167635813974"/>
    <n v="29703.559000000001"/>
    <n v="23737.786340274597"/>
    <n v="33736"/>
    <n v="-17208.481299999999"/>
    <n v="46821.944664000002"/>
    <n v="0"/>
    <n v="12057.951311999999"/>
    <n v="-69982.397619999989"/>
    <n v="58049.167635813974"/>
    <n v="58866.362396274606"/>
    <n v="3700"/>
    <n v="120615.53003208857"/>
    <n v="1.6082070670945143"/>
    <n v="1.0179032724321755"/>
    <n v="0.97690308106385604"/>
    <n v="0.95347277790360618"/>
    <n v="1.0143477041964586"/>
    <n v="58049.167635813974"/>
    <n v="58316.356836350671"/>
    <n v="3700"/>
    <n v="120065.52447216464"/>
    <n v="1.600873659628862"/>
    <n v="45065.524472164645"/>
    <n v="2030901495.9512706"/>
  </r>
  <r>
    <n v="21101533010"/>
    <n v="0.22"/>
    <n v="9720"/>
    <n v="0"/>
    <s v="GR"/>
    <s v="GR"/>
    <n v="3"/>
    <s v="RES"/>
    <n v="167600"/>
    <n v="26700"/>
    <n v="0.22"/>
    <n v="0"/>
    <n v="0"/>
    <n v="0"/>
    <n v="47108.068500000001"/>
    <n v="122297.704"/>
    <n v="50970.071053526844"/>
    <s v="FH"/>
    <n v="2"/>
    <x v="1"/>
    <x v="3"/>
    <n v="0"/>
    <n v="0"/>
    <n v="51"/>
    <n v="78"/>
    <x v="8"/>
    <x v="0"/>
    <n v="1552"/>
    <n v="1232"/>
    <n v="320"/>
    <n v="0"/>
    <n v="0"/>
    <n v="0"/>
    <n v="0"/>
    <n v="0"/>
    <n v="260"/>
    <n v="8"/>
    <n v="0"/>
    <n v="0"/>
    <s v="MT"/>
    <n v="1"/>
    <s v="FD"/>
    <s v="E"/>
    <n v="0"/>
    <n v="4"/>
    <n v="0"/>
    <n v="3600"/>
    <n v="100"/>
    <d v="2021-10-22T00:00:00"/>
    <n v="19300"/>
    <n v="156042"/>
    <n v="175300"/>
    <n v="240000"/>
    <n v="436"/>
    <n v="30364.44120477439"/>
    <n v="29703.559000000001"/>
    <n v="36568"/>
    <n v="33736"/>
    <n v="-16171.825799999999"/>
    <n v="104407.554768"/>
    <n v="0"/>
    <n v="14121.924959999998"/>
    <n v="-29282.461959999997"/>
    <n v="30364.44120477439"/>
    <n v="173082.75096800004"/>
    <n v="3600"/>
    <n v="207047.19217277443"/>
    <n v="0.86269663405322683"/>
    <n v="0.99049976351917957"/>
    <n v="0.97690308106385604"/>
    <n v="0.95347277790360618"/>
    <n v="0.97860968051050168"/>
    <n v="30364.44120477439"/>
    <n v="168733.4109005077"/>
    <n v="3600"/>
    <n v="202697.8521052821"/>
    <n v="0.84457438377200877"/>
    <n v="-37302.147894717898"/>
    <n v="1391450237.559407"/>
  </r>
  <r>
    <n v="21102114442"/>
    <n v="0.2"/>
    <n v="8537"/>
    <n v="0"/>
    <s v="GR"/>
    <s v="GR"/>
    <n v="3"/>
    <s v="RES"/>
    <n v="4200"/>
    <n v="26200"/>
    <n v="0.2"/>
    <n v="0"/>
    <n v="0"/>
    <n v="0"/>
    <n v="47108.068500000001"/>
    <n v="122297.704"/>
    <n v="46480.192574557397"/>
    <s v="TD"/>
    <n v="1"/>
    <x v="6"/>
    <x v="5"/>
    <n v="0"/>
    <n v="0"/>
    <n v="51"/>
    <n v="77"/>
    <x v="8"/>
    <x v="1"/>
    <n v="1015"/>
    <n v="1015"/>
    <n v="0"/>
    <n v="0"/>
    <n v="0"/>
    <n v="0"/>
    <n v="192"/>
    <n v="0"/>
    <n v="0"/>
    <n v="5"/>
    <n v="0"/>
    <n v="0"/>
    <s v="CP"/>
    <n v="0"/>
    <s v="SP"/>
    <s v="G"/>
    <n v="0"/>
    <n v="2"/>
    <n v="0"/>
    <n v="0"/>
    <n v="100"/>
    <d v="2021-08-02T00:00:00"/>
    <n v="18800"/>
    <n v="56037"/>
    <n v="74800"/>
    <n v="75000"/>
    <n v="517"/>
    <n v="27689.682306595139"/>
    <n v="29703.559000000001"/>
    <n v="23737.786340274597"/>
    <n v="27308"/>
    <n v="-15964.494699999999"/>
    <n v="68282.002634999997"/>
    <n v="0"/>
    <n v="0"/>
    <n v="-34722.552369999998"/>
    <n v="27689.682306595139"/>
    <n v="98344.300905274606"/>
    <n v="0"/>
    <n v="126033.98321186975"/>
    <n v="1.6804531094915967"/>
    <n v="1.0179032724321755"/>
    <n v="0.82553480985850469"/>
    <n v="0.95347277790360618"/>
    <n v="0.99870227473851148"/>
    <n v="27689.682306595139"/>
    <n v="93319.230065460928"/>
    <n v="0"/>
    <n v="121008.91237205607"/>
    <n v="1.6134521649607476"/>
    <n v="46008.912372056075"/>
    <n v="2116820017.6595345"/>
  </r>
  <r>
    <n v="21101533442"/>
    <n v="0.64"/>
    <n v="0"/>
    <n v="0"/>
    <s v="GR"/>
    <s v="GR"/>
    <n v="3"/>
    <s v="RES"/>
    <n v="144400"/>
    <n v="32700"/>
    <n v="0.64"/>
    <n v="0"/>
    <n v="0"/>
    <n v="0"/>
    <n v="47108.068500000001"/>
    <n v="122297.704"/>
    <n v="101273.98059871388"/>
    <s v="CO"/>
    <n v="2"/>
    <x v="6"/>
    <x v="3"/>
    <n v="0"/>
    <n v="0"/>
    <n v="52"/>
    <n v="84"/>
    <x v="8"/>
    <x v="1"/>
    <n v="1399"/>
    <n v="1000"/>
    <n v="399"/>
    <n v="0"/>
    <n v="0"/>
    <n v="0"/>
    <n v="0"/>
    <n v="0"/>
    <n v="585"/>
    <n v="5"/>
    <n v="1"/>
    <n v="0"/>
    <s v="MT"/>
    <n v="0"/>
    <s v="SP"/>
    <s v="G"/>
    <n v="0"/>
    <n v="3"/>
    <n v="0"/>
    <n v="33800"/>
    <n v="100"/>
    <d v="2022-09-28T00:00:00"/>
    <n v="24400"/>
    <n v="149156"/>
    <n v="173600"/>
    <n v="255000"/>
    <n v="95"/>
    <n v="60332.029481256301"/>
    <n v="29703.559000000001"/>
    <n v="23737.786340274597"/>
    <n v="33736"/>
    <n v="-17415.812399999999"/>
    <n v="94114.799690999993"/>
    <n v="0"/>
    <n v="31774.331159999998"/>
    <n v="-6380.3529499999995"/>
    <n v="60332.029481256301"/>
    <n v="189270.31084127459"/>
    <n v="33800"/>
    <n v="283402.34032253089"/>
    <n v="1.111381726755023"/>
    <n v="1.0179032724321755"/>
    <n v="0.97690308106385604"/>
    <n v="0.95347277790360618"/>
    <n v="0.99870227473851148"/>
    <n v="60332.029481256301"/>
    <n v="186761.59940612465"/>
    <n v="33800"/>
    <n v="280893.62888738094"/>
    <n v="1.1015436426956116"/>
    <n v="25893.628887380939"/>
    <n v="670480016.95740867"/>
  </r>
  <r>
    <n v="21102111535"/>
    <n v="0.31"/>
    <n v="13584"/>
    <n v="0"/>
    <s v="GR"/>
    <s v="GR"/>
    <n v="3"/>
    <s v="RES"/>
    <n v="70200"/>
    <n v="30600"/>
    <n v="0.31"/>
    <n v="0"/>
    <n v="0"/>
    <n v="0"/>
    <n v="47108.068500000001"/>
    <n v="122297.704"/>
    <n v="67125.53588132502"/>
    <s v="CO"/>
    <n v="1"/>
    <x v="6"/>
    <x v="4"/>
    <n v="0"/>
    <n v="0"/>
    <n v="52"/>
    <n v="88"/>
    <x v="9"/>
    <x v="4"/>
    <n v="998"/>
    <n v="998"/>
    <n v="0"/>
    <n v="0"/>
    <n v="0"/>
    <n v="0"/>
    <n v="0"/>
    <n v="0"/>
    <n v="0"/>
    <n v="5"/>
    <n v="0"/>
    <n v="0"/>
    <s v="CP"/>
    <n v="1"/>
    <s v="FD"/>
    <s v="G"/>
    <n v="0"/>
    <n v="2"/>
    <n v="0"/>
    <n v="1200"/>
    <n v="100"/>
    <d v="2020-08-11T00:00:00"/>
    <n v="23700"/>
    <n v="64584"/>
    <n v="88300"/>
    <n v="153000"/>
    <n v="873"/>
    <n v="39988.749191010458"/>
    <n v="29703.559000000001"/>
    <n v="23737.786340274597"/>
    <n v="86727"/>
    <n v="-18245.1368"/>
    <n v="67138.363182000001"/>
    <n v="0"/>
    <n v="0"/>
    <n v="-58632.085529999997"/>
    <n v="39988.749191010458"/>
    <n v="130429.48619227459"/>
    <n v="1200"/>
    <n v="171618.23538328503"/>
    <n v="1.1216878129626473"/>
    <n v="1.0179032724321755"/>
    <n v="1.0808650777425759"/>
    <n v="1.2448528948016826"/>
    <n v="1.0143477041964586"/>
    <n v="39988.749191010458"/>
    <n v="142101.91272062677"/>
    <n v="1200"/>
    <n v="183290.66191163723"/>
    <n v="1.1979781824290014"/>
    <n v="30290.661911637231"/>
    <n v="917524199.04511046"/>
  </r>
  <r>
    <n v="21102112404"/>
    <n v="0.14000000000000001"/>
    <n v="0"/>
    <n v="0"/>
    <s v="GR"/>
    <s v="GR"/>
    <n v="3"/>
    <s v="RES"/>
    <n v="97500"/>
    <n v="25900"/>
    <n v="0.14000000000000001"/>
    <n v="0"/>
    <n v="0"/>
    <n v="0"/>
    <n v="47108.068500000001"/>
    <n v="122297.704"/>
    <n v="29677.924883257932"/>
    <s v="TD"/>
    <n v="1"/>
    <x v="6"/>
    <x v="2"/>
    <n v="0"/>
    <n v="0"/>
    <n v="52"/>
    <n v="88"/>
    <x v="9"/>
    <x v="4"/>
    <n v="792"/>
    <n v="792"/>
    <n v="0"/>
    <n v="0"/>
    <n v="0"/>
    <n v="0"/>
    <n v="0"/>
    <n v="0"/>
    <n v="0"/>
    <n v="5"/>
    <n v="0"/>
    <n v="0"/>
    <s v="CP"/>
    <n v="1"/>
    <s v="FD"/>
    <s v="E"/>
    <n v="0"/>
    <n v="2"/>
    <n v="0"/>
    <n v="0"/>
    <n v="100"/>
    <d v="2020-01-09T00:00:00"/>
    <n v="19700"/>
    <n v="77447"/>
    <n v="97100"/>
    <n v="130000"/>
    <n v="1088"/>
    <n v="17680.053933043157"/>
    <n v="29703.559000000001"/>
    <n v="23737.786340274597"/>
    <n v="94106"/>
    <n v="-18245.1368"/>
    <n v="53280.143927999998"/>
    <n v="0"/>
    <n v="0"/>
    <n v="-73071.831680000003"/>
    <n v="17680.053933043157"/>
    <n v="109510.52078827459"/>
    <n v="0"/>
    <n v="127190.57472131774"/>
    <n v="0.97838903631782881"/>
    <n v="1.0179032724321755"/>
    <n v="1.0021009658305058"/>
    <n v="1.2448528948016826"/>
    <n v="1.0143477041964586"/>
    <n v="17680.053933043157"/>
    <n v="117154.48757203412"/>
    <n v="0"/>
    <n v="134834.54150507727"/>
    <n v="1.0371887808082867"/>
    <n v="4834.5415050772717"/>
    <n v="23372791.564314812"/>
  </r>
  <r>
    <n v="21102111423"/>
    <n v="0.2"/>
    <n v="8603"/>
    <n v="0"/>
    <s v="GR"/>
    <s v="GR"/>
    <n v="3"/>
    <s v="RES"/>
    <n v="57000"/>
    <n v="28000"/>
    <n v="0.2"/>
    <n v="0"/>
    <n v="0"/>
    <n v="0"/>
    <n v="47108.068500000001"/>
    <n v="122297.704"/>
    <n v="46480.192574557397"/>
    <s v="TD"/>
    <n v="1"/>
    <x v="3"/>
    <x v="3"/>
    <n v="0"/>
    <n v="0"/>
    <n v="54"/>
    <n v="95"/>
    <x v="10"/>
    <x v="4"/>
    <n v="660"/>
    <n v="660"/>
    <n v="0"/>
    <n v="0"/>
    <n v="200"/>
    <n v="0"/>
    <n v="0"/>
    <n v="160"/>
    <n v="0"/>
    <n v="5"/>
    <n v="0"/>
    <n v="0"/>
    <s v="CP"/>
    <n v="1"/>
    <s v="FD"/>
    <s v="G"/>
    <n v="0"/>
    <n v="2"/>
    <n v="0"/>
    <n v="0"/>
    <n v="100"/>
    <d v="2021-08-13T00:00:00"/>
    <n v="21300"/>
    <n v="75015"/>
    <n v="96300"/>
    <n v="95000"/>
    <n v="506"/>
    <n v="27689.682306595139"/>
    <n v="29703.559000000001"/>
    <n v="34195"/>
    <n v="33736"/>
    <n v="-19696.4545"/>
    <n v="44400.119939999997"/>
    <n v="0"/>
    <n v="0"/>
    <n v="-33983.774659999995"/>
    <n v="27689.682306595139"/>
    <n v="88354.449780000024"/>
    <n v="0"/>
    <n v="116044.13208659517"/>
    <n v="1.2215171798588966"/>
    <n v="0.98258795897788032"/>
    <n v="0.97690308106385604"/>
    <n v="0.879441629375324"/>
    <n v="1.0143477041964586"/>
    <n v="27689.682306595139"/>
    <n v="85113.616814673835"/>
    <n v="0"/>
    <n v="112803.29912126897"/>
    <n v="1.1874031486449366"/>
    <n v="17803.299121268967"/>
    <n v="316957459.60137635"/>
  </r>
  <r>
    <n v="21101643400"/>
    <n v="0.4"/>
    <n v="17542"/>
    <n v="0"/>
    <s v="GR"/>
    <s v="GR"/>
    <n v="3"/>
    <s v="RES"/>
    <n v="262400"/>
    <n v="30100"/>
    <n v="0.4"/>
    <n v="0"/>
    <n v="0"/>
    <n v="0"/>
    <n v="47108.068500000001"/>
    <n v="122297.704"/>
    <n v="79133.017436957161"/>
    <s v="CO"/>
    <n v="2"/>
    <x v="1"/>
    <x v="2"/>
    <n v="0"/>
    <n v="0"/>
    <n v="57"/>
    <n v="103"/>
    <x v="10"/>
    <x v="0"/>
    <n v="1932"/>
    <n v="1420"/>
    <n v="512"/>
    <n v="0"/>
    <n v="0"/>
    <n v="0"/>
    <n v="0"/>
    <n v="0"/>
    <n v="0"/>
    <n v="12"/>
    <n v="0"/>
    <n v="0"/>
    <s v="CP"/>
    <n v="1"/>
    <s v="FD"/>
    <s v="G"/>
    <n v="0"/>
    <n v="4"/>
    <n v="0"/>
    <n v="11600"/>
    <n v="100"/>
    <d v="2021-02-05T00:00:00"/>
    <n v="22000"/>
    <n v="188321"/>
    <n v="210300"/>
    <n v="267000"/>
    <n v="695"/>
    <n v="47141.975784132439"/>
    <n v="29703.559000000001"/>
    <n v="36568"/>
    <n v="94106"/>
    <n v="-21355.103299999999"/>
    <n v="129971.260188"/>
    <n v="0"/>
    <n v="0"/>
    <n v="-46677.318950000001"/>
    <n v="47141.975784132439"/>
    <n v="222316.39693800005"/>
    <n v="11600"/>
    <n v="281058.37272213248"/>
    <n v="1.0526530813563015"/>
    <n v="0.99049976351917957"/>
    <n v="1.0021009658305058"/>
    <n v="0.879441629375324"/>
    <n v="0.97860968051050168"/>
    <n v="47141.975784132439"/>
    <n v="214015.7718062003"/>
    <n v="11600"/>
    <n v="272757.74759033276"/>
    <n v="1.0215645977166021"/>
    <n v="5757.7475903327577"/>
    <n v="33151657.3139826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21391B-5F2B-4092-A3F1-45D914E7788E}" name="PivotTable2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3:F25" firstHeaderRow="1" firstDataRow="1" firstDataCol="1"/>
  <pivotFields count="7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Average of predicted_ratio" fld="67" subtotal="average" baseField="2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6AA39E-8C48-4CF5-8041-B1367DBE3D0B}" name="PivotTable1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3:B19" firstHeaderRow="1" firstDataRow="1" firstDataCol="1"/>
  <pivotFields count="7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of predicted_ratio" fld="67" subtotal="average" baseField="2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81E75-C420-465B-8FA7-E0B16AEFEE20}" name="PivotTable18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:F8" firstHeaderRow="1" firstDataRow="1" firstDataCol="1"/>
  <pivotFields count="7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0"/>
        <item x="4"/>
        <item x="2"/>
        <item x="5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verage of predicted_ratio" fld="67" subtotal="average" baseField="2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08139-3944-477C-A713-335AABD59230}" name="PivotTable1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9" firstHeaderRow="1" firstDataRow="1" firstDataCol="1"/>
  <pivotFields count="7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1"/>
        <item x="0"/>
        <item x="5"/>
        <item x="6"/>
        <item x="3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of predicted_ratio" fld="67" subtotal="average" baseField="1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20BA5F-4AC0-41A1-A2C4-8D9909AD58E8}" name="Granger_Sales" displayName="Granger_Sales" ref="A1:CC65" totalsRowShown="0">
  <autoFilter ref="A1:CC65" xr:uid="{7620BA5F-4AC0-41A1-A2C4-8D9909AD58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</autoFilter>
  <tableColumns count="81">
    <tableColumn id="1" xr3:uid="{10A0106E-0694-4210-82C6-43C8E19B2D27}" name="parcel_id"/>
    <tableColumn id="2" xr3:uid="{7FDB8474-7D05-4394-B0AB-AC1B6E27CE11}" name="total_acres"/>
    <tableColumn id="3" xr3:uid="{FAFCA1BB-AEEF-430D-8301-683989C8C677}" name="total_sqft"/>
    <tableColumn id="4" xr3:uid="{3F8B4790-9519-4B67-A657-C53B43939874}" name="unimproved_acres"/>
    <tableColumn id="5" xr3:uid="{3B5D2C76-F29C-4031-B6FD-BF92557F0B38}" name="nbhd"/>
    <tableColumn id="6" xr3:uid="{18E0BA2B-F912-414F-9CDB-168B3FC1D5C3}" name="treated_as"/>
    <tableColumn id="7" xr3:uid="{BA6F0C15-DBE4-4E1E-9075-3126DB8F9296}" name="inspct_cycle"/>
    <tableColumn id="8" xr3:uid="{CE2395F1-9353-4C81-9CEE-353014C4227F}" name="prop_type"/>
    <tableColumn id="9" xr3:uid="{D0898717-85B8-46CA-870A-2312B9DE5D7B}" name="prev_imp"/>
    <tableColumn id="10" xr3:uid="{D727302F-F872-4384-B231-61FCFB5862C2}" name="prev_land"/>
    <tableColumn id="11" xr3:uid="{6A8D9572-6804-49BA-AAF6-8E334359A1CA}" name="parcel_acres"/>
    <tableColumn id="12" xr3:uid="{D61644EB-02E4-4541-9667-845A0E588753}" name="non_valued_acres"/>
    <tableColumn id="13" xr3:uid="{396C618C-171C-49A7-8348-F85F2813BB3E}" name="unbuildable"/>
    <tableColumn id="14" xr3:uid="{72DF5317-23F1-4A7C-B8A5-FC280088DFEB}" name="no_utilities"/>
    <tableColumn id="15" xr3:uid="{0820AC9C-2E96-439F-9C28-A6409092BF03}" name="coeff"/>
    <tableColumn id="16" xr3:uid="{3C2F007A-3691-4E06-8369-1545A8E6F699}" name="const"/>
    <tableColumn id="17" xr3:uid="{32A7255D-AEBA-4033-8E56-C57A1AF1BE45}" name="land_extract">
      <calculatedColumnFormula>(LN(Granger_Sales[[#This Row],[parcel_acres]])*Granger_Sales[[#This Row],[coeff]])+Granger_Sales[[#This Row],[const]]</calculatedColumnFormula>
    </tableColumn>
    <tableColumn id="18" xr3:uid="{7A606574-1F68-4205-A481-47BC5C2F139A}" name="bldg_style"/>
    <tableColumn id="19" xr3:uid="{DA585930-E924-43F4-B6A4-4826E7C4F4CE}" name="num_stories"/>
    <tableColumn id="20" xr3:uid="{5F642585-7B7A-4A69-AB2C-1DE121ADE839}" name="quality"/>
    <tableColumn id="21" xr3:uid="{62E05D76-3447-4592-A792-CCABD212E70F}" name="condition"/>
    <tableColumn id="22" xr3:uid="{44ECDE50-08C7-479B-83E1-A3E27809A2D9}" name="quality_rank"/>
    <tableColumn id="23" xr3:uid="{2BF627B4-2434-42E6-8885-01844B61381E}" name="condition_rank"/>
    <tableColumn id="24" xr3:uid="{6E45B548-BA4E-4338-A9DD-D6FD434CB746}" name="Eff_Age"/>
    <tableColumn id="25" xr3:uid="{E6926817-F1D1-4478-BD2D-D3EA622E034B}" name="Age"/>
    <tableColumn id="26" xr3:uid="{CCAFB432-E2C1-437A-B27D-C4E865D085EF}" name="decade"/>
    <tableColumn id="27" xr3:uid="{1A67167D-4951-4F65-B176-C169845CCFC7}" name="living_area_range"/>
    <tableColumn id="28" xr3:uid="{D644DB7E-0714-4E0D-8440-77CADF52627F}" name="living_area"/>
    <tableColumn id="29" xr3:uid="{C7CEA7AF-99C3-40F6-9DCC-744F364B8A68}" name="Main Floor"/>
    <tableColumn id="30" xr3:uid="{C031E1E6-28B0-4E3F-94BE-81C72504BA88}" name="Upper Floor"/>
    <tableColumn id="31" xr3:uid="{A1CC309F-D6BE-4068-84A9-C5D0E5EA0613}" name="Fin BSMT"/>
    <tableColumn id="32" xr3:uid="{6EFCF10B-3C59-42F1-8233-6FF8BDD68569}" name="UnFin BSMT"/>
    <tableColumn id="33" xr3:uid="{B05D1BA3-4F72-4825-B182-C557654E599A}" name="garage_sqft"/>
    <tableColumn id="34" xr3:uid="{794E54FB-A275-41CB-AA6A-B79ABD423658}" name="Carport"/>
    <tableColumn id="35" xr3:uid="{E3BCA0B5-6C71-4FB1-B46B-5E28E0BBFB41}" name="Wood Deck"/>
    <tableColumn id="36" xr3:uid="{42D4C0EC-B1CA-43D0-97D2-C0A53A2EB3F5}" name="Patio"/>
    <tableColumn id="37" xr3:uid="{B51A588E-CB88-44A0-B108-AA2FEF766512}" name="Plumbing Fixtures"/>
    <tableColumn id="38" xr3:uid="{E73BE9B8-D49D-4D79-823B-5E03650F6F0B}" name="stove"/>
    <tableColumn id="39" xr3:uid="{B530A54D-DFB2-4A17-B403-0212F4E38185}" name="fireplace"/>
    <tableColumn id="40" xr3:uid="{5AA61A69-C9AD-4D3B-9707-D1F8E08F9872}" name="roofing"/>
    <tableColumn id="41" xr3:uid="{7FC2016C-813A-4D63-B2C8-E91386346FDB}" name="heating"/>
    <tableColumn id="42" xr3:uid="{F03EAEF7-21F8-465F-9D7F-774BCB510367}" name="heat_type"/>
    <tableColumn id="43" xr3:uid="{DEF849C7-7337-4E78-81BB-63A26D98736D}" name="fuel_type"/>
    <tableColumn id="44" xr3:uid="{9FAF4852-8D8B-427A-9878-1BC4E912FDD2}" name="ac"/>
    <tableColumn id="45" xr3:uid="{5D2854E0-0397-41CE-8496-BD5FEBF67F1B}" name="num_bedrooms"/>
    <tableColumn id="46" xr3:uid="{AFBDDF99-43A1-471E-8752-B6D8564F14C7}" name="crop_value"/>
    <tableColumn id="47" xr3:uid="{E064EB6E-351B-4E48-A83C-C918125F4A7A}" name="detatched_value"/>
    <tableColumn id="48" xr3:uid="{704A087D-3CA6-450F-8631-FAF7E5375AB8}" name="pct_complete"/>
    <tableColumn id="49" xr3:uid="{1999C3D7-4667-4F81-BE61-DEAA5458626A}" name="sale_date" dataDxfId="50"/>
    <tableColumn id="50" xr3:uid="{83E89B10-4E5B-43FE-80A7-D3A9E7C1214B}" name="assessed_land"/>
    <tableColumn id="51" xr3:uid="{9A94197E-7BE1-488E-9DD3-FB395C71F946}" name="assessed_imp"/>
    <tableColumn id="52" xr3:uid="{A86C8B00-57EB-4F3F-B75A-058EDD7BB6AB}" name="assessed_total"/>
    <tableColumn id="53" xr3:uid="{3CFE3D4F-EAC4-47C9-B663-3D4851ED054C}" name="sale_price"/>
    <tableColumn id="54" xr3:uid="{DC613F0E-75DB-49D4-8F13-841866A8B99F}" name="days_prior_to_assessment"/>
    <tableColumn id="56" xr3:uid="{4B1996EA-2676-4D06-A900-ADDD1F609DC4}" name="land_value_1" dataDxfId="49">
      <calculatedColumnFormula>Granger_Sales[[#This Row],[land_extract]]*Lookups!$B$3</calculatedColumnFormula>
    </tableColumn>
    <tableColumn id="55" xr3:uid="{A2DC8D03-7BE8-4BB3-A48D-224A19CD2214}" name="Intercept" dataDxfId="48">
      <calculatedColumnFormula>Lookups!$B$2</calculatedColumnFormula>
    </tableColumn>
    <tableColumn id="69" xr3:uid="{1D61359C-6182-4582-B525-F1E1DBB8BF82}" name="quality_value" dataDxfId="47">
      <calculatedColumnFormula>VLOOKUP(Granger_Sales[[#This Row],[quality]],Lookups!$H$2:$J$12,3,FALSE)</calculatedColumnFormula>
    </tableColumn>
    <tableColumn id="68" xr3:uid="{AA4EAB59-8B70-49E9-BD6C-5A2246CC6BAE}" name="cond_value" dataDxfId="46">
      <calculatedColumnFormula>VLOOKUP(Granger_Sales[[#This Row],[condition]],Lookups!$H$17:$J$24,3,FALSE)</calculatedColumnFormula>
    </tableColumn>
    <tableColumn id="58" xr3:uid="{6EE6ABF2-7173-4745-834E-4A4E597FFEB1}" name="Age_value" dataDxfId="45">
      <calculatedColumnFormula>Granger_Sales[[#This Row],[Age]]*Lookups!$B$16</calculatedColumnFormula>
    </tableColumn>
    <tableColumn id="59" xr3:uid="{38B3F398-A96D-429D-BF61-01465C48591E}" name="Living_Area_Value" dataDxfId="44">
      <calculatedColumnFormula>Granger_Sales[[#This Row],[living_area]]*Lookups!$B$17</calculatedColumnFormula>
    </tableColumn>
    <tableColumn id="60" xr3:uid="{10332A0F-96F1-48CE-8787-94C3F5FAF1FA}" name="Garage_value" dataDxfId="43">
      <calculatedColumnFormula>Granger_Sales[[#This Row],[garage_sqft]]*Lookups!$B$18</calculatedColumnFormula>
    </tableColumn>
    <tableColumn id="61" xr3:uid="{FDEB2CFC-89D4-4593-BA4A-22FFD66AEA05}" name="Patio_Value" dataDxfId="42">
      <calculatedColumnFormula>Granger_Sales[[#This Row],[Patio]]*Lookups!$B$19</calculatedColumnFormula>
    </tableColumn>
    <tableColumn id="62" xr3:uid="{D9367AFF-A0F5-4E41-B302-C0FBF8CB0B69}" name="Days_prior_adj" dataDxfId="41">
      <calculatedColumnFormula>Granger_Sales[[#This Row],[days_prior_to_assessment]]*Lookups!$B$20</calculatedColumnFormula>
    </tableColumn>
    <tableColumn id="63" xr3:uid="{CE665F52-AF29-4C39-93D5-0F9837FEF28D}" name="predicted_land" dataDxfId="40">
      <calculatedColumnFormula>Granger_Sales[[#This Row],[land_value_1]]</calculatedColumnFormula>
    </tableColumn>
    <tableColumn id="64" xr3:uid="{83E6C41C-33EF-4CAA-9A47-C34917EBD058}" name="predicted_res" dataDxfId="39">
      <calculatedColumnFormula>SUM(Granger_Sales[[#This Row],[Intercept]:[Days_prior_adj]])</calculatedColumnFormula>
    </tableColumn>
    <tableColumn id="65" xr3:uid="{8CBFED17-9AF8-4D24-9774-68F2AE342C1F}" name="predicted_det" dataDxfId="38">
      <calculatedColumnFormula>Granger_Sales[[#This Row],[detatched_value]]</calculatedColumnFormula>
    </tableColumn>
    <tableColumn id="66" xr3:uid="{DE320E21-0319-4CCA-9B56-3A592BFCA184}" name="predicted_total" dataDxfId="37">
      <calculatedColumnFormula>SUM(Granger_Sales[[#This Row],[predicted_land]:[predicted_det]])</calculatedColumnFormula>
    </tableColumn>
    <tableColumn id="67" xr3:uid="{3B59B447-F76A-4047-8CB5-3A435905E6F6}" name="predicted_ratio" dataDxfId="36">
      <calculatedColumnFormula>Granger_Sales[[#This Row],[predicted_total]]/Granger_Sales[[#This Row],[sale_price]]</calculatedColumnFormula>
    </tableColumn>
    <tableColumn id="70" xr3:uid="{5935D760-9820-4F95-A5A4-FADA20D8E370}" name="qual_adj" dataDxfId="35">
      <calculatedColumnFormula>VLOOKUP(Granger_Sales[[#This Row],[quality]],Lookups!$A$25:$C$35,3,FALSE)</calculatedColumnFormula>
    </tableColumn>
    <tableColumn id="71" xr3:uid="{29669661-539F-412F-81DE-9193616E14FD}" name="cond_adj" dataDxfId="34">
      <calculatedColumnFormula>VLOOKUP(Granger_Sales[[#This Row],[condition]],Lookups!$A$38:$C$45,3,FALSE)</calculatedColumnFormula>
    </tableColumn>
    <tableColumn id="72" xr3:uid="{79433F03-1876-42EF-B705-8981ED153641}" name="decade_adj" dataDxfId="33">
      <calculatedColumnFormula>VLOOKUP(Granger_Sales[[#This Row],[decade]],Lookups!$G$28:$I$42,3,FALSE)</calculatedColumnFormula>
    </tableColumn>
    <tableColumn id="73" xr3:uid="{8BE47AE8-FFC3-435F-84DA-B2C8B89126A1}" name="living_range_adj" dataDxfId="32">
      <calculatedColumnFormula>VLOOKUP(Granger_Sales[[#This Row],[living_area_range]],Lookups!$A$48:$C$57,3,FALSE)</calculatedColumnFormula>
    </tableColumn>
    <tableColumn id="74" xr3:uid="{42C809EF-74EF-4EFC-9BB4-5FF86A4F06AA}" name="final_land" dataDxfId="31">
      <calculatedColumnFormula>Granger_Sales[[#This Row],[predicted_land]]</calculatedColumnFormula>
    </tableColumn>
    <tableColumn id="75" xr3:uid="{7CA2F35F-545A-4C60-B254-D1F5B7C075F3}" name="final_res" dataDxfId="30">
      <calculatedColumnFormula>Granger_Sales[[#This Row],[predicted_res]]*AVERAGE(Granger_Sales[[#This Row],[qual_adj]:[living_range_adj]])</calculatedColumnFormula>
    </tableColumn>
    <tableColumn id="76" xr3:uid="{C18D8C78-731D-483D-8E21-710E58AA70BC}" name="final_det" dataDxfId="29">
      <calculatedColumnFormula>Granger_Sales[[#This Row],[predicted_det]]</calculatedColumnFormula>
    </tableColumn>
    <tableColumn id="77" xr3:uid="{72F51F07-C2DB-41F5-BC5C-1094353B5B67}" name="final_total" dataDxfId="28">
      <calculatedColumnFormula>SUM(Granger_Sales[[#This Row],[final_land]:[final_det]])</calculatedColumnFormula>
    </tableColumn>
    <tableColumn id="80" xr3:uid="{5ECDD43C-D18E-459D-B8DE-895AC5F9AD9B}" name="final_ratio" dataDxfId="4">
      <calculatedColumnFormula>Granger_Sales[[#This Row],[final_total]]/Granger_Sales[[#This Row],[sale_price]]</calculatedColumnFormula>
    </tableColumn>
    <tableColumn id="78" xr3:uid="{DA4A8758-60F8-47DF-B157-7A2272597F7C}" name="SSE" dataDxfId="3">
      <calculatedColumnFormula>(Granger_Sales[[#This Row],[final_total]]-Granger_Sales[[#This Row],[sale_price]])^2</calculatedColumnFormula>
    </tableColumn>
    <tableColumn id="79" xr3:uid="{AD261F4A-0BB8-4E05-B6C0-6DDFFE2CA84F}" name="SSR" dataDxfId="1">
      <calculatedColumnFormula>(Granger_Sales[[#This Row],[final_total]]-AVERAGE(Granger_Sales[sale_price]))^2</calculatedColumnFormula>
    </tableColumn>
    <tableColumn id="57" xr3:uid="{ED1140B9-783E-453C-B439-40D4634DB7D7}" name="SST" dataDxfId="0">
      <calculatedColumnFormula>Granger_Sales[[#This Row],[SSE]]+Granger_Sales[[#This Row],[SSR]]</calculatedColumnFormula>
    </tableColumn>
    <tableColumn id="81" xr3:uid="{D169F913-60F0-48A1-AE8D-D77D6937A959}" name="ABS Deviation from Median" dataDxfId="2">
      <calculatedColumnFormula>ABS(Granger_Sales[[#This Row],[final_ratio]]-MEDIAN(Granger_Sales[final_ratio]))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057249-88A4-4054-87E7-5353D5BF1C6E}" name="Granger_Inventory" displayName="Granger_Inventory" ref="A1:CC732" totalsRowShown="0">
  <autoFilter ref="A1:CC732" xr:uid="{BD057249-88A4-4054-87E7-5353D5BF1C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</autoFilter>
  <sortState xmlns:xlrd2="http://schemas.microsoft.com/office/spreadsheetml/2017/richdata2" ref="A2:CC608">
    <sortCondition ref="K2:K608"/>
  </sortState>
  <tableColumns count="81">
    <tableColumn id="1" xr3:uid="{208453BA-9000-4DE0-A205-A89A61F7802E}" name="parcel_id"/>
    <tableColumn id="2" xr3:uid="{65FFF5E1-7241-4422-8ACD-995CE942244A}" name="total_acres"/>
    <tableColumn id="3" xr3:uid="{F144E43D-474A-4D07-8657-945816749FAF}" name="total_sqft"/>
    <tableColumn id="4" xr3:uid="{7AE6AE82-7A3C-4AED-9487-61DA34EE8EB6}" name="unimproved_acres"/>
    <tableColumn id="5" xr3:uid="{7F028C3B-DDA7-4640-AC4D-C3DBB0024271}" name="nbhd"/>
    <tableColumn id="6" xr3:uid="{49E017D3-D41B-4B42-A296-C78AF6855928}" name="treated_as"/>
    <tableColumn id="7" xr3:uid="{AA558195-D8D5-432C-A4CD-69121A7DD1AC}" name="inspct_cycle"/>
    <tableColumn id="8" xr3:uid="{D53AF0AB-552D-47E0-9634-2CA486DBB2BC}" name="prop_type"/>
    <tableColumn id="9" xr3:uid="{BDBB6990-EEF9-4614-8C24-64AB273EC03B}" name="prev_imp"/>
    <tableColumn id="10" xr3:uid="{672F4834-B986-44A1-B7B5-F0179FF96654}" name="prev_land"/>
    <tableColumn id="11" xr3:uid="{FFF0377E-C3F3-4B38-B78C-E952655002EC}" name="parcel_acres"/>
    <tableColumn id="68" xr3:uid="{064D97A9-7BD2-4104-869B-45B3BE679031}" name="ln_acres">
      <calculatedColumnFormula>IF(Granger_Inventory[[#This Row],[parcel_acres]]-Granger_Inventory[[#This Row],[non_valued_acres]] =0,0,LN(Granger_Inventory[[#This Row],[parcel_acres]]-Granger_Inventory[[#This Row],[non_valued_acres]]))</calculatedColumnFormula>
    </tableColumn>
    <tableColumn id="12" xr3:uid="{A9F899FE-9629-4371-97C2-C538FE115F86}" name="non_valued_acres"/>
    <tableColumn id="13" xr3:uid="{3FB82C6F-0597-4018-8046-D2674C731465}" name="unbuildable"/>
    <tableColumn id="14" xr3:uid="{B76009B2-56A0-4393-82B2-BF56DB6E0640}" name="no_utilities"/>
    <tableColumn id="15" xr3:uid="{6D38EB4C-240D-4CFB-8E36-3CE2540342B9}" name="coeff"/>
    <tableColumn id="16" xr3:uid="{DE9A3C57-D40A-42A4-B51F-B43683047A43}" name="const"/>
    <tableColumn id="17" xr3:uid="{45FD3396-AE4E-4CDD-9F26-3956D14E9BFE}" name="land_extract" dataDxfId="27">
      <calculatedColumnFormula>(Granger_Inventory[[#This Row],[ln_acres]]*Granger_Inventory[[#This Row],[coeff]])+Granger_Inventory[[#This Row],[const]]</calculatedColumnFormula>
    </tableColumn>
    <tableColumn id="18" xr3:uid="{0ED71983-2877-4C79-8885-EE9B31B1B9FE}" name="bldg_style"/>
    <tableColumn id="19" xr3:uid="{F307421E-8C66-4B63-9973-FB6CC7DBF088}" name="num_stories"/>
    <tableColumn id="20" xr3:uid="{BC7BDE94-3E8A-4576-9AFC-8EDB6452D17C}" name="quality"/>
    <tableColumn id="21" xr3:uid="{630E7F63-98A2-4F22-B77F-2DC4F08B6CD5}" name="condition"/>
    <tableColumn id="22" xr3:uid="{ECAFB9AA-3CCE-4673-869F-D1F4E4C8D788}" name="quality_rank"/>
    <tableColumn id="23" xr3:uid="{ED797E52-4462-40C9-B908-B7AFF0AB05E9}" name="condition_rank"/>
    <tableColumn id="24" xr3:uid="{9C35507F-5BCF-4CA4-8A34-3FE2D3A05427}" name="Eff_Age"/>
    <tableColumn id="25" xr3:uid="{10AE5534-91B1-4BA1-BFDF-E5E3AFF17520}" name="Age"/>
    <tableColumn id="26" xr3:uid="{26FED461-F4D0-4C8B-B9A6-D85EEAC72005}" name="decade"/>
    <tableColumn id="27" xr3:uid="{047DC4EE-4DDA-4C8F-A710-C5603B3EEF70}" name="living_area_range"/>
    <tableColumn id="28" xr3:uid="{F78EF973-2B96-4589-969B-02655893A565}" name="living_area"/>
    <tableColumn id="29" xr3:uid="{324CABC8-53A5-4B31-AC30-6B98C1B78090}" name="Main Floor"/>
    <tableColumn id="30" xr3:uid="{EAFEB1B5-21A9-449F-8846-DB029CEBFB4D}" name="Upper Floor"/>
    <tableColumn id="67" xr3:uid="{1894F4B5-56F7-492D-A428-F4809B957772}" name="addl_area"/>
    <tableColumn id="31" xr3:uid="{B1E28066-C044-48A2-B9C2-3076B9A282AB}" name="Fin BSMT"/>
    <tableColumn id="32" xr3:uid="{3D4F787A-F1F1-4B89-B2C1-EA7999738148}" name="UnFin BSMT"/>
    <tableColumn id="69" xr3:uid="{96FAFFBE-D23C-4707-A47B-61B2D55EC22D}" name="att_gar"/>
    <tableColumn id="33" xr3:uid="{CED1AD85-B2BF-4E62-930D-023DB18F1872}" name="blt_gar"/>
    <tableColumn id="34" xr3:uid="{790BCDEF-4B3E-4447-9901-F8F80DDEF9EE}" name="Carport"/>
    <tableColumn id="35" xr3:uid="{324333BD-43A3-4F95-9B3A-620CE421A727}" name="Wood Deck"/>
    <tableColumn id="36" xr3:uid="{4DDEE599-A774-49CF-8324-9FC2EC4B5D29}" name="Patio"/>
    <tableColumn id="70" xr3:uid="{9D8D42E5-41A0-4EBE-8E6F-47956510346C}" name="cover_por"/>
    <tableColumn id="71" xr3:uid="{A8ABC70E-44BF-472B-B5D9-737439192C24}" name="cover_sf"/>
    <tableColumn id="37" xr3:uid="{F8B8470E-CE46-4A9B-84D6-0C8C603B97F9}" name="Plumbing Fixtures"/>
    <tableColumn id="38" xr3:uid="{3E226978-4FC4-4342-B59C-853F514ABAEA}" name="stove"/>
    <tableColumn id="39" xr3:uid="{DAA5ED6D-7B8A-45D2-ADF3-1573ED0D1FCB}" name="fireplace"/>
    <tableColumn id="40" xr3:uid="{4C03C612-6361-4F90-A602-91A0909F7C40}" name="roofing"/>
    <tableColumn id="41" xr3:uid="{7EF9FFBE-5875-4213-A1D7-349DEF1C3894}" name="heating"/>
    <tableColumn id="42" xr3:uid="{0D87EF26-83C5-4FA1-9FC8-BAB793F9AA80}" name="heat_type"/>
    <tableColumn id="43" xr3:uid="{75A80EDB-3BCC-4552-B21B-5462606233E4}" name="fuel_type"/>
    <tableColumn id="44" xr3:uid="{E628EAC0-7B80-4FEB-800E-2BEB67C91CAE}" name="ac"/>
    <tableColumn id="45" xr3:uid="{54BCECE1-A1A4-43C3-8B3F-4E1384D023CA}" name="num_bedrooms"/>
    <tableColumn id="46" xr3:uid="{A8FDBCFE-9016-422A-8E6E-B1E3C7125409}" name="crop_value"/>
    <tableColumn id="47" xr3:uid="{88518855-305B-4731-BA4C-6F71186B2F75}" name="detatched_value"/>
    <tableColumn id="72" xr3:uid="{D436EB44-FCE6-4B26-AC95-7C701AE4C07F}" name="phy_pct"/>
    <tableColumn id="73" xr3:uid="{CC985AF8-B2E6-4AC8-B647-AF56C0C27F62}" name="fun_pct"/>
    <tableColumn id="74" xr3:uid="{17A22824-BEFA-40BC-A8A9-896412CA1899}" name="econ_pct"/>
    <tableColumn id="48" xr3:uid="{BDFDFB0B-6EAC-4E90-A9F7-384F604508D2}" name="pct_complete"/>
    <tableColumn id="75" xr3:uid="{82699011-3AF4-4B33-B597-90714672DE85}" name="res_pct"/>
    <tableColumn id="80" xr3:uid="{C52D4160-C978-4A04-B6B4-0A3D0890E0C5}" name="min_land"/>
    <tableColumn id="81" xr3:uid="{9EC5179F-E815-4DB8-8BE5-434F5F981808}" name="min_res"/>
    <tableColumn id="49" xr3:uid="{0DB2EF11-54E1-4F37-BB2C-9FBED6F5425B}" name="land_value" dataDxfId="26">
      <calculatedColumnFormula>Granger_Inventory[[#This Row],[land_extract]]*Lookups!$B$3</calculatedColumnFormula>
    </tableColumn>
    <tableColumn id="51" xr3:uid="{841D0B56-F140-4084-A8E6-E6BEAC0FD4B1}" name="Intercept" dataDxfId="25">
      <calculatedColumnFormula>IF(Granger_Inventory[[#This Row],[bldg_style]]="",0,Lookups!$B$2)</calculatedColumnFormula>
    </tableColumn>
    <tableColumn id="52" xr3:uid="{EA14421C-6C93-4FC7-ADDD-4F6A2833AF17}" name="quality_value" dataDxfId="24">
      <calculatedColumnFormula>_xlfn.IFNA(VLOOKUP(Granger_Inventory[[#This Row],[quality]],Lookups!$H$2:$J$14,3,FALSE),0)</calculatedColumnFormula>
    </tableColumn>
    <tableColumn id="53" xr3:uid="{A75EC2D0-6E67-4C36-B86D-FC51D7CD56DC}" name="cond_value" dataDxfId="23">
      <calculatedColumnFormula>_xlfn.IFNA(VLOOKUP(Granger_Inventory[[#This Row],[condition]],Lookups!$H$17:$J$24,3,FALSE),0)</calculatedColumnFormula>
    </tableColumn>
    <tableColumn id="54" xr3:uid="{9F6F1A6E-813B-469C-81D8-A4C5093EFF80}" name="Age_value" dataDxfId="22">
      <calculatedColumnFormula>Granger_Inventory[[#This Row],[Age]]*Lookups!$B$16</calculatedColumnFormula>
    </tableColumn>
    <tableColumn id="55" xr3:uid="{B59F98DB-198F-4793-8065-CB96D4F01B29}" name="Living_Area_Value" dataDxfId="21">
      <calculatedColumnFormula>Granger_Inventory[[#This Row],[living_area]]*Lookups!$B$17</calculatedColumnFormula>
    </tableColumn>
    <tableColumn id="56" xr3:uid="{211CDA7E-EBA4-4E9C-BE9F-21F3604C7BB5}" name="Garage_value" dataDxfId="20">
      <calculatedColumnFormula>(Granger_Inventory[[#This Row],[att_gar]]+Granger_Inventory[[#This Row],[blt_gar]])*Lookups!$B$18</calculatedColumnFormula>
    </tableColumn>
    <tableColumn id="57" xr3:uid="{46940BA9-CA97-4DE3-904E-996B41DF9CF4}" name="Patio_Value" dataDxfId="19">
      <calculatedColumnFormula>Granger_Inventory[[#This Row],[Patio]]*Lookups!$B$19</calculatedColumnFormula>
    </tableColumn>
    <tableColumn id="58" xr3:uid="{39E7FFAE-BA5D-48D6-B181-9089F4CE34C6}" name="pre_res" dataDxfId="18">
      <calculatedColumnFormula>SUM(Granger_Inventory[[#This Row],[Intercept]:[Patio_Value]])*Granger_Inventory[[#This Row],[res_pct]]</calculatedColumnFormula>
    </tableColumn>
    <tableColumn id="78" xr3:uid="{DF089B7B-1814-45BF-9E74-750C2AF4BE41}" name="sum_land" dataDxfId="17">
      <calculatedColumnFormula>Granger_Inventory[[#This Row],[land_value]]</calculatedColumnFormula>
    </tableColumn>
    <tableColumn id="59" xr3:uid="{3AC23FE5-F9F0-4F61-9AD4-2F51A69C7281}" name="qual_adj" dataDxfId="16">
      <calculatedColumnFormula>_xlfn.IFNA(VLOOKUP(Granger_Inventory[[#This Row],[quality]],Lookups!$A$25:$C$35,3,FALSE),1)</calculatedColumnFormula>
    </tableColumn>
    <tableColumn id="60" xr3:uid="{0DAC4329-755A-46ED-873D-550490C1EA3A}" name="cond_adj" dataDxfId="15">
      <calculatedColumnFormula>_xlfn.IFNA(VLOOKUP(Granger_Inventory[[#This Row],[condition]],Lookups!$A$38:$C$45,3,FALSE),1)</calculatedColumnFormula>
    </tableColumn>
    <tableColumn id="61" xr3:uid="{1736A5B4-128A-4D91-91F0-53D1FD3CAFF7}" name="decade_adj" dataDxfId="14">
      <calculatedColumnFormula>IF(Granger_Inventory[[#This Row],[decade]]="",1,_xlfn.IFNA(VLOOKUP(Granger_Inventory[[#This Row],[decade]],Lookups!$G$28:$I$42,3,FALSE),1))</calculatedColumnFormula>
    </tableColumn>
    <tableColumn id="62" xr3:uid="{DA8DC451-849A-4BE7-8111-CCF4E99AC61B}" name="living_range_adj" dataDxfId="13">
      <calculatedColumnFormula>_xlfn.IFNA(VLOOKUP(Granger_Inventory[[#This Row],[living_area_range]],Lookups!$A$48:$C$57,3,FALSE),1)</calculatedColumnFormula>
    </tableColumn>
    <tableColumn id="79" xr3:uid="{E001CAFA-BD67-4EEA-B3E6-A1C8A5A7B33E}" name="overall_adj" dataDxfId="12">
      <calculatedColumnFormula>AVERAGE(Granger_Inventory[[#This Row],[qual_adj]:[living_range_adj]])</calculatedColumnFormula>
    </tableColumn>
    <tableColumn id="77" xr3:uid="{43D1794D-B49D-435E-BD81-42F69ED2632C}" name="adj_land" dataDxfId="11">
      <calculatedColumnFormula>(Granger_Inventory[[#This Row],[sum_land]]-IF(Granger_Inventory[[#This Row],[no_utilities]]=1,12000,0))/IF(Granger_Inventory[[#This Row],[unbuildable]]=1,2,1)</calculatedColumnFormula>
    </tableColumn>
    <tableColumn id="76" xr3:uid="{FA04DFB7-609C-4038-8153-1422C2974A9F}" name="adj_res" dataDxfId="10">
      <calculatedColumnFormula>Granger_Inventory[[#This Row],[pre_res]]*Granger_Inventory[[#This Row],[overall_adj]]</calculatedColumnFormula>
    </tableColumn>
    <tableColumn id="63" xr3:uid="{EB23D80B-3D91-4364-8639-ECA93258E9B4}" name="final_land" dataDxfId="9">
      <calculatedColumnFormula>IF(ROUND(Granger_Inventory[[#This Row],[adj_land]]*Lookups!$I$45,-2)&lt;Granger_Inventory[[#This Row],[min_land]],Granger_Inventory[[#This Row],[min_land]],ROUND(Granger_Inventory[[#This Row],[adj_land]]*Lookups!$I$45,-2))</calculatedColumnFormula>
    </tableColumn>
    <tableColumn id="65" xr3:uid="{55F27D12-D130-42BA-ACC1-3CBF5FD376D5}" name="final_det" dataDxfId="8">
      <calculatedColumnFormula>ROUND(Granger_Inventory[[#This Row],[detatched_value]]*Lookups!$I$45,-2)</calculatedColumnFormula>
    </tableColumn>
    <tableColumn id="64" xr3:uid="{38A36CE7-4D5E-40B0-AD46-E043D77238F8}" name="final_res" dataDxfId="7">
      <calculatedColumnFormula>IF(ROUND(Granger_Inventory[[#This Row],[adj_res]]*Lookups!$I$45,-2)&lt;Granger_Inventory[[#This Row],[min_res]],Granger_Inventory[[#This Row],[min_res]],ROUND(Granger_Inventory[[#This Row],[adj_res]]*Lookups!$I$45,-2))</calculatedColumnFormula>
    </tableColumn>
    <tableColumn id="50" xr3:uid="{402F219F-35FC-44AC-83D4-6E6EB7223DEE}" name="final_imp" dataDxfId="6">
      <calculatedColumnFormula>Granger_Inventory[[#This Row],[final_det]]+Granger_Inventory[[#This Row],[final_res]]</calculatedColumnFormula>
    </tableColumn>
    <tableColumn id="66" xr3:uid="{EACF5198-9E34-4609-B889-5F14B09D9512}" name="final_total" dataDxfId="5">
      <calculatedColumnFormula>Granger_Inventory[[#This Row],[final_land]]+Granger_Inventory[[#This Row],[final_imp]]+Granger_Inventory[[#This Row],[crop_value]]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864C-8FAF-4662-B311-2C392CA55546}">
  <dimension ref="A1:CC81"/>
  <sheetViews>
    <sheetView tabSelected="1" topLeftCell="BL52" workbookViewId="0">
      <selection activeCell="CC79" sqref="CC79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7.28515625" bestFit="1" customWidth="1"/>
    <col min="13" max="13" width="11.7109375" bestFit="1" customWidth="1"/>
    <col min="14" max="14" width="11.140625" bestFit="1" customWidth="1"/>
    <col min="15" max="16" width="11" bestFit="1" customWidth="1"/>
    <col min="17" max="17" width="12" bestFit="1" customWidth="1"/>
    <col min="18" max="18" width="10.140625" bestFit="1" customWidth="1"/>
    <col min="19" max="19" width="12" bestFit="1" customWidth="1"/>
    <col min="20" max="20" width="7.140625" bestFit="1" customWidth="1"/>
    <col min="21" max="21" width="9.42578125" bestFit="1" customWidth="1"/>
    <col min="22" max="22" width="12" bestFit="1" customWidth="1"/>
    <col min="23" max="23" width="14.42578125" bestFit="1" customWidth="1"/>
    <col min="24" max="24" width="7.85546875" bestFit="1" customWidth="1"/>
    <col min="25" max="25" width="4.42578125" bestFit="1" customWidth="1"/>
    <col min="26" max="26" width="7.42578125" bestFit="1" customWidth="1"/>
    <col min="27" max="27" width="16.85546875" bestFit="1" customWidth="1"/>
    <col min="28" max="28" width="10.7109375" bestFit="1" customWidth="1"/>
    <col min="29" max="29" width="10.5703125" bestFit="1" customWidth="1"/>
    <col min="30" max="30" width="11.5703125" bestFit="1" customWidth="1"/>
    <col min="31" max="31" width="9.140625" bestFit="1" customWidth="1"/>
    <col min="32" max="32" width="11.7109375" bestFit="1" customWidth="1"/>
    <col min="33" max="33" width="11.28515625" bestFit="1" customWidth="1"/>
    <col min="34" max="34" width="7.5703125" bestFit="1" customWidth="1"/>
    <col min="35" max="35" width="11.140625" bestFit="1" customWidth="1"/>
    <col min="36" max="36" width="5.5703125" bestFit="1" customWidth="1"/>
    <col min="37" max="37" width="17.28515625" bestFit="1" customWidth="1"/>
    <col min="38" max="38" width="5.85546875" bestFit="1" customWidth="1"/>
    <col min="39" max="39" width="8.85546875" bestFit="1" customWidth="1"/>
    <col min="40" max="40" width="7.42578125" bestFit="1" customWidth="1"/>
    <col min="41" max="41" width="7.7109375" bestFit="1" customWidth="1"/>
    <col min="42" max="42" width="10" bestFit="1" customWidth="1"/>
    <col min="43" max="43" width="9.5703125" bestFit="1" customWidth="1"/>
    <col min="44" max="44" width="2.85546875" bestFit="1" customWidth="1"/>
    <col min="45" max="45" width="15.140625" bestFit="1" customWidth="1"/>
    <col min="46" max="46" width="10.7109375" bestFit="1" customWidth="1"/>
    <col min="47" max="47" width="16" bestFit="1" customWidth="1"/>
    <col min="48" max="48" width="13.28515625" bestFit="1" customWidth="1"/>
    <col min="49" max="49" width="10.7109375" style="1" bestFit="1" customWidth="1"/>
    <col min="50" max="50" width="13.85546875" bestFit="1" customWidth="1"/>
    <col min="51" max="51" width="13.42578125" bestFit="1" customWidth="1"/>
    <col min="52" max="52" width="14.140625" bestFit="1" customWidth="1"/>
    <col min="53" max="53" width="10" bestFit="1" customWidth="1"/>
    <col min="54" max="54" width="24.85546875" bestFit="1" customWidth="1"/>
    <col min="55" max="55" width="12.7109375" bestFit="1" customWidth="1"/>
    <col min="56" max="56" width="10" bestFit="1" customWidth="1"/>
    <col min="57" max="57" width="13.140625" bestFit="1" customWidth="1"/>
    <col min="58" max="58" width="11.140625" bestFit="1" customWidth="1"/>
    <col min="59" max="59" width="11.7109375" bestFit="1" customWidth="1"/>
    <col min="60" max="60" width="17.7109375" bestFit="1" customWidth="1"/>
    <col min="61" max="61" width="13.28515625" bestFit="1" customWidth="1"/>
    <col min="62" max="62" width="12" bestFit="1" customWidth="1"/>
    <col min="63" max="63" width="14.28515625" bestFit="1" customWidth="1"/>
    <col min="64" max="64" width="14.5703125" bestFit="1" customWidth="1"/>
    <col min="65" max="65" width="13.42578125" bestFit="1" customWidth="1"/>
    <col min="66" max="66" width="13.7109375" bestFit="1" customWidth="1"/>
    <col min="67" max="68" width="14.85546875" bestFit="1" customWidth="1"/>
    <col min="69" max="71" width="12" bestFit="1" customWidth="1"/>
    <col min="72" max="72" width="15.7109375" bestFit="1" customWidth="1"/>
    <col min="73" max="73" width="12" bestFit="1" customWidth="1"/>
    <col min="74" max="74" width="13.140625" bestFit="1" customWidth="1"/>
    <col min="75" max="75" width="9" bestFit="1" customWidth="1"/>
    <col min="76" max="76" width="20.42578125" bestFit="1" customWidth="1"/>
    <col min="77" max="77" width="12" bestFit="1" customWidth="1"/>
    <col min="78" max="78" width="12.7109375" bestFit="1" customWidth="1"/>
    <col min="79" max="79" width="14.85546875" bestFit="1" customWidth="1"/>
    <col min="80" max="80" width="15.7109375" bestFit="1" customWidth="1"/>
    <col min="81" max="81" width="26" bestFit="1" customWidth="1"/>
  </cols>
  <sheetData>
    <row r="1" spans="1:8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s="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110</v>
      </c>
      <c r="BD1" t="s">
        <v>89</v>
      </c>
      <c r="BE1" t="s">
        <v>121</v>
      </c>
      <c r="BF1" t="s">
        <v>122</v>
      </c>
      <c r="BG1" t="s">
        <v>111</v>
      </c>
      <c r="BH1" t="s">
        <v>112</v>
      </c>
      <c r="BI1" t="s">
        <v>113</v>
      </c>
      <c r="BJ1" t="s">
        <v>114</v>
      </c>
      <c r="BK1" t="s">
        <v>115</v>
      </c>
      <c r="BL1" t="s">
        <v>116</v>
      </c>
      <c r="BM1" t="s">
        <v>117</v>
      </c>
      <c r="BN1" t="s">
        <v>118</v>
      </c>
      <c r="BO1" t="s">
        <v>119</v>
      </c>
      <c r="BP1" t="s">
        <v>120</v>
      </c>
      <c r="BQ1" t="s">
        <v>126</v>
      </c>
      <c r="BR1" t="s">
        <v>127</v>
      </c>
      <c r="BS1" t="s">
        <v>128</v>
      </c>
      <c r="BT1" t="s">
        <v>129</v>
      </c>
      <c r="BU1" t="s">
        <v>130</v>
      </c>
      <c r="BV1" t="s">
        <v>131</v>
      </c>
      <c r="BW1" t="s">
        <v>132</v>
      </c>
      <c r="BX1" t="s">
        <v>133</v>
      </c>
      <c r="BY1" t="s">
        <v>136</v>
      </c>
      <c r="BZ1" t="s">
        <v>173</v>
      </c>
      <c r="CA1" t="s">
        <v>174</v>
      </c>
      <c r="CB1" t="s">
        <v>186</v>
      </c>
      <c r="CC1" t="s">
        <v>175</v>
      </c>
    </row>
    <row r="2" spans="1:81" x14ac:dyDescent="0.25">
      <c r="A2">
        <v>21102231416</v>
      </c>
      <c r="B2">
        <v>0.18</v>
      </c>
      <c r="C2">
        <v>7998</v>
      </c>
      <c r="D2">
        <v>0</v>
      </c>
      <c r="E2" t="s">
        <v>54</v>
      </c>
      <c r="F2" t="s">
        <v>54</v>
      </c>
      <c r="G2">
        <v>3</v>
      </c>
      <c r="H2" t="s">
        <v>55</v>
      </c>
      <c r="I2">
        <v>302300</v>
      </c>
      <c r="J2">
        <v>27400</v>
      </c>
      <c r="K2">
        <v>0.18</v>
      </c>
      <c r="L2">
        <v>0</v>
      </c>
      <c r="M2">
        <v>0</v>
      </c>
      <c r="N2">
        <v>0</v>
      </c>
      <c r="O2">
        <v>47108.068500000001</v>
      </c>
      <c r="P2">
        <v>122297.704</v>
      </c>
      <c r="Q2">
        <f>(LN(Granger_Sales[[#This Row],[parcel_acres]])*Granger_Sales[[#This Row],[coeff]])+Granger_Sales[[#This Row],[const]]</f>
        <v>41516.862185753198</v>
      </c>
      <c r="R2" t="s">
        <v>56</v>
      </c>
      <c r="S2">
        <v>1</v>
      </c>
      <c r="T2" t="s">
        <v>57</v>
      </c>
      <c r="U2" t="s">
        <v>58</v>
      </c>
      <c r="V2">
        <v>0</v>
      </c>
      <c r="W2">
        <v>0</v>
      </c>
      <c r="X2">
        <v>1</v>
      </c>
      <c r="Y2">
        <v>1</v>
      </c>
      <c r="Z2">
        <v>0</v>
      </c>
      <c r="AA2">
        <v>2000</v>
      </c>
      <c r="AB2">
        <v>1815</v>
      </c>
      <c r="AC2">
        <v>1815</v>
      </c>
      <c r="AD2">
        <v>0</v>
      </c>
      <c r="AE2">
        <v>0</v>
      </c>
      <c r="AF2">
        <v>0</v>
      </c>
      <c r="AG2">
        <v>552</v>
      </c>
      <c r="AH2">
        <v>0</v>
      </c>
      <c r="AI2">
        <v>0</v>
      </c>
      <c r="AJ2">
        <v>0</v>
      </c>
      <c r="AK2">
        <v>9</v>
      </c>
      <c r="AL2">
        <v>0</v>
      </c>
      <c r="AM2">
        <v>0</v>
      </c>
      <c r="AN2" t="s">
        <v>59</v>
      </c>
      <c r="AO2">
        <v>1</v>
      </c>
      <c r="AP2" t="s">
        <v>60</v>
      </c>
      <c r="AQ2" t="s">
        <v>61</v>
      </c>
      <c r="AR2">
        <v>1</v>
      </c>
      <c r="AS2">
        <v>3</v>
      </c>
      <c r="AT2">
        <v>0</v>
      </c>
      <c r="AU2">
        <v>0</v>
      </c>
      <c r="AV2">
        <v>100</v>
      </c>
      <c r="AW2" s="1">
        <v>44641</v>
      </c>
      <c r="AX2">
        <v>20900</v>
      </c>
      <c r="AY2">
        <v>306177</v>
      </c>
      <c r="AZ2">
        <v>327100</v>
      </c>
      <c r="BA2">
        <v>349900</v>
      </c>
      <c r="BB2">
        <v>286</v>
      </c>
      <c r="BC2">
        <f>Granger_Sales[[#This Row],[land_extract]]*Lookups!$B$3</f>
        <v>24732.8735234085</v>
      </c>
      <c r="BD2">
        <f>Lookups!$B$2</f>
        <v>29703.559000000001</v>
      </c>
      <c r="BE2">
        <f>VLOOKUP(Granger_Sales[[#This Row],[quality]],Lookups!$H$2:$J$12,3,FALSE)</f>
        <v>56414</v>
      </c>
      <c r="BF2">
        <f>VLOOKUP(Granger_Sales[[#This Row],[condition]],Lookups!$H$17:$J$24,3,FALSE)</f>
        <v>101774</v>
      </c>
      <c r="BG2">
        <f>Granger_Sales[[#This Row],[Age]]*Lookups!$B$16</f>
        <v>-207.33109999999999</v>
      </c>
      <c r="BH2">
        <f>Granger_Sales[[#This Row],[living_area]]*Lookups!$B$17</f>
        <v>122100.329835</v>
      </c>
      <c r="BI2">
        <f>Granger_Sales[[#This Row],[garage_sqft]]*Lookups!$B$18</f>
        <v>26743.067472000002</v>
      </c>
      <c r="BJ2">
        <f>Granger_Sales[[#This Row],[Patio]]*Lookups!$B$19</f>
        <v>0</v>
      </c>
      <c r="BK2">
        <f>Granger_Sales[[#This Row],[days_prior_to_assessment]]*Lookups!$B$20</f>
        <v>-19208.22046</v>
      </c>
      <c r="BL2">
        <f>Granger_Sales[[#This Row],[land_value_1]]</f>
        <v>24732.8735234085</v>
      </c>
      <c r="BM2">
        <f>SUM(Granger_Sales[[#This Row],[Intercept]:[Days_prior_adj]])</f>
        <v>317319.40474700002</v>
      </c>
      <c r="BN2">
        <f>Granger_Sales[[#This Row],[detatched_value]]</f>
        <v>0</v>
      </c>
      <c r="BO2">
        <f>SUM(Granger_Sales[[#This Row],[predicted_land]:[predicted_det]])</f>
        <v>342052.27827040851</v>
      </c>
      <c r="BP2">
        <f>Granger_Sales[[#This Row],[predicted_total]]/Granger_Sales[[#This Row],[sale_price]]</f>
        <v>0.97757152978110462</v>
      </c>
      <c r="BQ2">
        <f>VLOOKUP(Granger_Sales[[#This Row],[quality]],Lookups!$A$25:$C$35,3,FALSE)</f>
        <v>0.98791809110152173</v>
      </c>
      <c r="BR2">
        <f>VLOOKUP(Granger_Sales[[#This Row],[condition]],Lookups!$A$38:$C$45,3,FALSE)</f>
        <v>0.99135053432734199</v>
      </c>
      <c r="BS2">
        <f>VLOOKUP(Granger_Sales[[#This Row],[decade]],Lookups!$G$28:$I$42,3,FALSE)</f>
        <v>0.99951026660104636</v>
      </c>
      <c r="BT2">
        <f>VLOOKUP(Granger_Sales[[#This Row],[living_area_range]],Lookups!$A$48:$C$57,3,FALSE)</f>
        <v>0.97860968051050168</v>
      </c>
      <c r="BU2">
        <f>Granger_Sales[[#This Row],[predicted_land]]</f>
        <v>24732.8735234085</v>
      </c>
      <c r="BV2">
        <f>Granger_Sales[[#This Row],[predicted_res]]*AVERAGE(Granger_Sales[[#This Row],[qual_adj]:[living_range_adj]])</f>
        <v>313939.04654777591</v>
      </c>
      <c r="BW2">
        <f>Granger_Sales[[#This Row],[predicted_det]]</f>
        <v>0</v>
      </c>
      <c r="BX2">
        <f>SUM(Granger_Sales[[#This Row],[final_land]:[final_det]])</f>
        <v>338671.9200711844</v>
      </c>
      <c r="BY2">
        <f>Granger_Sales[[#This Row],[final_total]]/Granger_Sales[[#This Row],[sale_price]]</f>
        <v>0.96791060323287914</v>
      </c>
      <c r="BZ2" s="7">
        <f>(Granger_Sales[[#This Row],[final_total]]-Granger_Sales[[#This Row],[sale_price]])^2</f>
        <v>126069778.88787168</v>
      </c>
      <c r="CA2" s="7">
        <f>(Granger_Sales[[#This Row],[final_total]]-AVERAGE(Granger_Sales[sale_price]))^2</f>
        <v>5942128262.7275295</v>
      </c>
      <c r="CB2" s="7">
        <f>Granger_Sales[[#This Row],[SSE]]+Granger_Sales[[#This Row],[SSR]]</f>
        <v>6068198041.6154013</v>
      </c>
      <c r="CC2" s="12">
        <f>ABS(Granger_Sales[[#This Row],[final_ratio]]-MEDIAN(Granger_Sales[final_ratio]))</f>
        <v>2.2628180300881984E-2</v>
      </c>
    </row>
    <row r="3" spans="1:81" x14ac:dyDescent="0.25">
      <c r="A3">
        <v>21101641588</v>
      </c>
      <c r="B3">
        <v>0</v>
      </c>
      <c r="C3">
        <v>14799</v>
      </c>
      <c r="D3">
        <v>0</v>
      </c>
      <c r="E3" t="s">
        <v>54</v>
      </c>
      <c r="F3" t="s">
        <v>54</v>
      </c>
      <c r="G3">
        <v>3</v>
      </c>
      <c r="H3" t="s">
        <v>55</v>
      </c>
      <c r="I3">
        <v>280000</v>
      </c>
      <c r="J3">
        <v>29200</v>
      </c>
      <c r="K3">
        <v>0.34</v>
      </c>
      <c r="L3">
        <v>0</v>
      </c>
      <c r="M3">
        <v>0</v>
      </c>
      <c r="N3">
        <v>0</v>
      </c>
      <c r="O3">
        <v>47108.068500000001</v>
      </c>
      <c r="P3">
        <v>122297.704</v>
      </c>
      <c r="Q3">
        <f>(LN(Granger_Sales[[#This Row],[parcel_acres]])*Granger_Sales[[#This Row],[coeff]])+Granger_Sales[[#This Row],[const]]</f>
        <v>71477.064573629323</v>
      </c>
      <c r="R3" t="s">
        <v>62</v>
      </c>
      <c r="S3">
        <v>1</v>
      </c>
      <c r="T3" t="s">
        <v>57</v>
      </c>
      <c r="U3" t="s">
        <v>58</v>
      </c>
      <c r="V3">
        <v>0</v>
      </c>
      <c r="W3">
        <v>0</v>
      </c>
      <c r="X3">
        <v>1</v>
      </c>
      <c r="Y3">
        <v>1</v>
      </c>
      <c r="Z3">
        <v>0</v>
      </c>
      <c r="AA3">
        <v>1500</v>
      </c>
      <c r="AB3">
        <v>1456</v>
      </c>
      <c r="AC3">
        <v>1456</v>
      </c>
      <c r="AD3">
        <v>0</v>
      </c>
      <c r="AE3">
        <v>0</v>
      </c>
      <c r="AF3">
        <v>0</v>
      </c>
      <c r="AG3">
        <v>484</v>
      </c>
      <c r="AH3">
        <v>0</v>
      </c>
      <c r="AI3">
        <v>0</v>
      </c>
      <c r="AJ3">
        <v>0</v>
      </c>
      <c r="AK3">
        <v>8</v>
      </c>
      <c r="AL3">
        <v>0</v>
      </c>
      <c r="AM3">
        <v>0</v>
      </c>
      <c r="AN3" t="s">
        <v>59</v>
      </c>
      <c r="AO3">
        <v>1</v>
      </c>
      <c r="AP3" t="s">
        <v>63</v>
      </c>
      <c r="AQ3" t="s">
        <v>61</v>
      </c>
      <c r="AR3">
        <v>1</v>
      </c>
      <c r="AS3">
        <v>3</v>
      </c>
      <c r="AT3">
        <v>0</v>
      </c>
      <c r="AU3">
        <v>0</v>
      </c>
      <c r="AV3">
        <v>100</v>
      </c>
      <c r="AW3" s="1">
        <v>44796</v>
      </c>
      <c r="AX3">
        <v>21200</v>
      </c>
      <c r="AY3">
        <v>260114</v>
      </c>
      <c r="AZ3">
        <v>281300</v>
      </c>
      <c r="BA3">
        <v>342500</v>
      </c>
      <c r="BB3">
        <v>131</v>
      </c>
      <c r="BC3">
        <f>Granger_Sales[[#This Row],[land_extract]]*Lookups!$B$3</f>
        <v>42581.088860099859</v>
      </c>
      <c r="BD3">
        <f>Lookups!$B$2</f>
        <v>29703.559000000001</v>
      </c>
      <c r="BE3">
        <f>VLOOKUP(Granger_Sales[[#This Row],[quality]],Lookups!$H$2:$J$12,3,FALSE)</f>
        <v>56414</v>
      </c>
      <c r="BF3">
        <f>VLOOKUP(Granger_Sales[[#This Row],[condition]],Lookups!$H$17:$J$24,3,FALSE)</f>
        <v>101774</v>
      </c>
      <c r="BG3">
        <f>Granger_Sales[[#This Row],[Age]]*Lookups!$B$16</f>
        <v>-207.33109999999999</v>
      </c>
      <c r="BH3">
        <f>Granger_Sales[[#This Row],[living_area]]*Lookups!$B$17</f>
        <v>97949.355503999992</v>
      </c>
      <c r="BI3">
        <f>Granger_Sales[[#This Row],[garage_sqft]]*Lookups!$B$18</f>
        <v>23448.631624000001</v>
      </c>
      <c r="BJ3">
        <f>Granger_Sales[[#This Row],[Patio]]*Lookups!$B$19</f>
        <v>0</v>
      </c>
      <c r="BK3">
        <f>Granger_Sales[[#This Row],[days_prior_to_assessment]]*Lookups!$B$20</f>
        <v>-8798.1709099999989</v>
      </c>
      <c r="BL3">
        <f>Granger_Sales[[#This Row],[land_value_1]]</f>
        <v>42581.088860099859</v>
      </c>
      <c r="BM3">
        <f>SUM(Granger_Sales[[#This Row],[Intercept]:[Days_prior_adj]])</f>
        <v>300284.04411799996</v>
      </c>
      <c r="BN3">
        <f>Granger_Sales[[#This Row],[detatched_value]]</f>
        <v>0</v>
      </c>
      <c r="BO3">
        <f>SUM(Granger_Sales[[#This Row],[predicted_land]:[predicted_det]])</f>
        <v>342865.13297809981</v>
      </c>
      <c r="BP3">
        <f>Granger_Sales[[#This Row],[predicted_total]]/Granger_Sales[[#This Row],[sale_price]]</f>
        <v>1.0010660816878827</v>
      </c>
      <c r="BQ3">
        <f>VLOOKUP(Granger_Sales[[#This Row],[quality]],Lookups!$A$25:$C$35,3,FALSE)</f>
        <v>0.98791809110152173</v>
      </c>
      <c r="BR3">
        <f>VLOOKUP(Granger_Sales[[#This Row],[condition]],Lookups!$A$38:$C$45,3,FALSE)</f>
        <v>0.99135053432734199</v>
      </c>
      <c r="BS3">
        <f>VLOOKUP(Granger_Sales[[#This Row],[decade]],Lookups!$G$28:$I$42,3,FALSE)</f>
        <v>0.99951026660104636</v>
      </c>
      <c r="BT3">
        <f>VLOOKUP(Granger_Sales[[#This Row],[living_area_range]],Lookups!$A$48:$C$57,3,FALSE)</f>
        <v>0.97960506760539345</v>
      </c>
      <c r="BU3">
        <f>Granger_Sales[[#This Row],[predicted_land]]</f>
        <v>42581.088860099859</v>
      </c>
      <c r="BV3">
        <f>Granger_Sales[[#This Row],[predicted_res]]*AVERAGE(Granger_Sales[[#This Row],[qual_adj]:[living_range_adj]])</f>
        <v>297159.8858927777</v>
      </c>
      <c r="BW3">
        <f>Granger_Sales[[#This Row],[predicted_det]]</f>
        <v>0</v>
      </c>
      <c r="BX3">
        <f>SUM(Granger_Sales[[#This Row],[final_land]:[final_det]])</f>
        <v>339740.97475287755</v>
      </c>
      <c r="BY3">
        <f>Granger_Sales[[#This Row],[final_total]]/Granger_Sales[[#This Row],[sale_price]]</f>
        <v>0.99194445183321911</v>
      </c>
      <c r="BZ3" s="7">
        <f>(Granger_Sales[[#This Row],[final_total]]-Granger_Sales[[#This Row],[sale_price]])^2</f>
        <v>7612220.3142591082</v>
      </c>
      <c r="CA3" s="7">
        <f>(Granger_Sales[[#This Row],[final_total]]-AVERAGE(Granger_Sales[sale_price]))^2</f>
        <v>6108087731.3633213</v>
      </c>
      <c r="CB3" s="7">
        <f>Granger_Sales[[#This Row],[SSE]]+Granger_Sales[[#This Row],[SSR]]</f>
        <v>6115699951.6775808</v>
      </c>
      <c r="CC3" s="12">
        <f>ABS(Granger_Sales[[#This Row],[final_ratio]]-MEDIAN(Granger_Sales[final_ratio]))</f>
        <v>1.405668299457985E-3</v>
      </c>
    </row>
    <row r="4" spans="1:81" x14ac:dyDescent="0.25">
      <c r="A4">
        <v>21101641589</v>
      </c>
      <c r="B4">
        <v>0</v>
      </c>
      <c r="C4">
        <v>14799</v>
      </c>
      <c r="D4">
        <v>0</v>
      </c>
      <c r="E4" t="s">
        <v>54</v>
      </c>
      <c r="F4" t="s">
        <v>54</v>
      </c>
      <c r="G4">
        <v>3</v>
      </c>
      <c r="H4" t="s">
        <v>55</v>
      </c>
      <c r="I4">
        <v>168000</v>
      </c>
      <c r="J4">
        <v>29200</v>
      </c>
      <c r="K4">
        <v>0.34</v>
      </c>
      <c r="L4">
        <v>0</v>
      </c>
      <c r="M4">
        <v>0</v>
      </c>
      <c r="N4">
        <v>0</v>
      </c>
      <c r="O4">
        <v>47108.068500000001</v>
      </c>
      <c r="P4">
        <v>122297.704</v>
      </c>
      <c r="Q4">
        <f>(LN(Granger_Sales[[#This Row],[parcel_acres]])*Granger_Sales[[#This Row],[coeff]])+Granger_Sales[[#This Row],[const]]</f>
        <v>71477.064573629323</v>
      </c>
      <c r="R4" t="s">
        <v>62</v>
      </c>
      <c r="S4">
        <v>1</v>
      </c>
      <c r="T4" t="s">
        <v>57</v>
      </c>
      <c r="U4" t="s">
        <v>58</v>
      </c>
      <c r="V4">
        <v>0</v>
      </c>
      <c r="W4">
        <v>0</v>
      </c>
      <c r="X4">
        <v>1</v>
      </c>
      <c r="Y4">
        <v>1</v>
      </c>
      <c r="Z4">
        <v>0</v>
      </c>
      <c r="AA4">
        <v>1500</v>
      </c>
      <c r="AB4">
        <v>1456</v>
      </c>
      <c r="AC4">
        <v>1456</v>
      </c>
      <c r="AD4">
        <v>0</v>
      </c>
      <c r="AE4">
        <v>0</v>
      </c>
      <c r="AF4">
        <v>0</v>
      </c>
      <c r="AG4">
        <v>484</v>
      </c>
      <c r="AH4">
        <v>0</v>
      </c>
      <c r="AI4">
        <v>0</v>
      </c>
      <c r="AJ4">
        <v>0</v>
      </c>
      <c r="AK4">
        <v>8</v>
      </c>
      <c r="AL4">
        <v>0</v>
      </c>
      <c r="AM4">
        <v>0</v>
      </c>
      <c r="AN4" t="s">
        <v>59</v>
      </c>
      <c r="AO4">
        <v>1</v>
      </c>
      <c r="AP4" t="s">
        <v>63</v>
      </c>
      <c r="AQ4" t="s">
        <v>61</v>
      </c>
      <c r="AR4">
        <v>1</v>
      </c>
      <c r="AS4">
        <v>3</v>
      </c>
      <c r="AT4">
        <v>0</v>
      </c>
      <c r="AU4">
        <v>0</v>
      </c>
      <c r="AV4">
        <v>100</v>
      </c>
      <c r="AW4" s="1">
        <v>44860</v>
      </c>
      <c r="AX4">
        <v>21200</v>
      </c>
      <c r="AY4">
        <v>262536</v>
      </c>
      <c r="AZ4">
        <v>283700</v>
      </c>
      <c r="BA4">
        <v>350000</v>
      </c>
      <c r="BB4">
        <v>67</v>
      </c>
      <c r="BC4">
        <f>Granger_Sales[[#This Row],[land_extract]]*Lookups!$B$3</f>
        <v>42581.088860099859</v>
      </c>
      <c r="BD4">
        <f>Lookups!$B$2</f>
        <v>29703.559000000001</v>
      </c>
      <c r="BE4">
        <f>VLOOKUP(Granger_Sales[[#This Row],[quality]],Lookups!$H$2:$J$12,3,FALSE)</f>
        <v>56414</v>
      </c>
      <c r="BF4">
        <f>VLOOKUP(Granger_Sales[[#This Row],[condition]],Lookups!$H$17:$J$24,3,FALSE)</f>
        <v>101774</v>
      </c>
      <c r="BG4">
        <f>Granger_Sales[[#This Row],[Age]]*Lookups!$B$16</f>
        <v>-207.33109999999999</v>
      </c>
      <c r="BH4">
        <f>Granger_Sales[[#This Row],[living_area]]*Lookups!$B$17</f>
        <v>97949.355503999992</v>
      </c>
      <c r="BI4">
        <f>Granger_Sales[[#This Row],[garage_sqft]]*Lookups!$B$18</f>
        <v>23448.631624000001</v>
      </c>
      <c r="BJ4">
        <f>Granger_Sales[[#This Row],[Patio]]*Lookups!$B$19</f>
        <v>0</v>
      </c>
      <c r="BK4">
        <f>Granger_Sales[[#This Row],[days_prior_to_assessment]]*Lookups!$B$20</f>
        <v>-4499.8278700000001</v>
      </c>
      <c r="BL4">
        <f>Granger_Sales[[#This Row],[land_value_1]]</f>
        <v>42581.088860099859</v>
      </c>
      <c r="BM4">
        <f>SUM(Granger_Sales[[#This Row],[Intercept]:[Days_prior_adj]])</f>
        <v>304582.38715799997</v>
      </c>
      <c r="BN4">
        <f>Granger_Sales[[#This Row],[detatched_value]]</f>
        <v>0</v>
      </c>
      <c r="BO4">
        <f>SUM(Granger_Sales[[#This Row],[predicted_land]:[predicted_det]])</f>
        <v>347163.47601809981</v>
      </c>
      <c r="BP4">
        <f>Granger_Sales[[#This Row],[predicted_total]]/Granger_Sales[[#This Row],[sale_price]]</f>
        <v>0.99189564576599942</v>
      </c>
      <c r="BQ4">
        <f>VLOOKUP(Granger_Sales[[#This Row],[quality]],Lookups!$A$25:$C$35,3,FALSE)</f>
        <v>0.98791809110152173</v>
      </c>
      <c r="BR4">
        <f>VLOOKUP(Granger_Sales[[#This Row],[condition]],Lookups!$A$38:$C$45,3,FALSE)</f>
        <v>0.99135053432734199</v>
      </c>
      <c r="BS4">
        <f>VLOOKUP(Granger_Sales[[#This Row],[decade]],Lookups!$G$28:$I$42,3,FALSE)</f>
        <v>0.99951026660104636</v>
      </c>
      <c r="BT4">
        <f>VLOOKUP(Granger_Sales[[#This Row],[living_area_range]],Lookups!$A$48:$C$57,3,FALSE)</f>
        <v>0.97960506760539345</v>
      </c>
      <c r="BU4">
        <f>Granger_Sales[[#This Row],[predicted_land]]</f>
        <v>42581.088860099859</v>
      </c>
      <c r="BV4">
        <f>Granger_Sales[[#This Row],[predicted_res]]*AVERAGE(Granger_Sales[[#This Row],[qual_adj]:[living_range_adj]])</f>
        <v>301413.50892841426</v>
      </c>
      <c r="BW4">
        <f>Granger_Sales[[#This Row],[predicted_det]]</f>
        <v>0</v>
      </c>
      <c r="BX4">
        <f>SUM(Granger_Sales[[#This Row],[final_land]:[final_det]])</f>
        <v>343994.5977885141</v>
      </c>
      <c r="BY4">
        <f>Granger_Sales[[#This Row],[final_total]]/Granger_Sales[[#This Row],[sale_price]]</f>
        <v>0.98284170796718318</v>
      </c>
      <c r="BZ4" s="7">
        <f>(Granger_Sales[[#This Row],[final_total]]-Granger_Sales[[#This Row],[sale_price]])^2</f>
        <v>36064855.721719697</v>
      </c>
      <c r="CA4" s="7">
        <f>(Granger_Sales[[#This Row],[final_total]]-AVERAGE(Granger_Sales[sale_price]))^2</f>
        <v>6791058527.6263723</v>
      </c>
      <c r="CB4" s="7">
        <f>Granger_Sales[[#This Row],[SSE]]+Granger_Sales[[#This Row],[SSR]]</f>
        <v>6827123383.3480921</v>
      </c>
      <c r="CC4" s="12">
        <f>ABS(Granger_Sales[[#This Row],[final_ratio]]-MEDIAN(Granger_Sales[final_ratio]))</f>
        <v>7.6970755665779489E-3</v>
      </c>
    </row>
    <row r="5" spans="1:81" x14ac:dyDescent="0.25">
      <c r="A5">
        <v>21102112424</v>
      </c>
      <c r="B5">
        <v>0.25</v>
      </c>
      <c r="C5">
        <v>11078</v>
      </c>
      <c r="D5">
        <v>0</v>
      </c>
      <c r="E5" t="s">
        <v>54</v>
      </c>
      <c r="F5" t="s">
        <v>54</v>
      </c>
      <c r="G5">
        <v>3</v>
      </c>
      <c r="H5" t="s">
        <v>55</v>
      </c>
      <c r="I5">
        <v>191600</v>
      </c>
      <c r="J5">
        <v>29300</v>
      </c>
      <c r="K5">
        <v>0.25</v>
      </c>
      <c r="L5">
        <v>0</v>
      </c>
      <c r="M5">
        <v>0</v>
      </c>
      <c r="N5">
        <v>0</v>
      </c>
      <c r="O5">
        <v>47108.068500000001</v>
      </c>
      <c r="P5">
        <v>122297.704</v>
      </c>
      <c r="Q5">
        <f>(LN(Granger_Sales[[#This Row],[parcel_acres]])*Granger_Sales[[#This Row],[coeff]])+Granger_Sales[[#This Row],[const]]</f>
        <v>56992.054275200455</v>
      </c>
      <c r="R5" t="s">
        <v>62</v>
      </c>
      <c r="S5">
        <v>1</v>
      </c>
      <c r="T5" t="s">
        <v>64</v>
      </c>
      <c r="U5" t="s">
        <v>58</v>
      </c>
      <c r="V5">
        <v>0</v>
      </c>
      <c r="W5">
        <v>0</v>
      </c>
      <c r="X5">
        <v>2</v>
      </c>
      <c r="Y5">
        <v>2</v>
      </c>
      <c r="Z5">
        <v>0</v>
      </c>
      <c r="AA5">
        <v>1500</v>
      </c>
      <c r="AB5">
        <v>1083</v>
      </c>
      <c r="AC5">
        <v>1083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8</v>
      </c>
      <c r="AL5">
        <v>0</v>
      </c>
      <c r="AM5">
        <v>0</v>
      </c>
      <c r="AN5" t="s">
        <v>59</v>
      </c>
      <c r="AO5">
        <v>1</v>
      </c>
      <c r="AP5" t="s">
        <v>63</v>
      </c>
      <c r="AQ5" t="s">
        <v>65</v>
      </c>
      <c r="AR5">
        <v>1</v>
      </c>
      <c r="AS5">
        <v>2</v>
      </c>
      <c r="AT5">
        <v>0</v>
      </c>
      <c r="AU5">
        <v>0</v>
      </c>
      <c r="AV5">
        <v>100</v>
      </c>
      <c r="AW5" s="1">
        <v>44687</v>
      </c>
      <c r="AX5">
        <v>22600</v>
      </c>
      <c r="AY5">
        <v>163657</v>
      </c>
      <c r="AZ5">
        <v>186300</v>
      </c>
      <c r="BA5">
        <v>250000</v>
      </c>
      <c r="BB5">
        <v>240</v>
      </c>
      <c r="BC5">
        <f>Granger_Sales[[#This Row],[land_extract]]*Lookups!$B$3</f>
        <v>33951.922087008585</v>
      </c>
      <c r="BD5">
        <f>Lookups!$B$2</f>
        <v>29703.559000000001</v>
      </c>
      <c r="BE5">
        <f>VLOOKUP(Granger_Sales[[#This Row],[quality]],Lookups!$H$2:$J$12,3,FALSE)</f>
        <v>36568</v>
      </c>
      <c r="BF5">
        <f>VLOOKUP(Granger_Sales[[#This Row],[condition]],Lookups!$H$17:$J$24,3,FALSE)</f>
        <v>101774</v>
      </c>
      <c r="BG5">
        <f>Granger_Sales[[#This Row],[Age]]*Lookups!$B$16</f>
        <v>-414.66219999999998</v>
      </c>
      <c r="BH5">
        <f>Granger_Sales[[#This Row],[living_area]]*Lookups!$B$17</f>
        <v>72856.560446999996</v>
      </c>
      <c r="BI5">
        <f>Granger_Sales[[#This Row],[garage_sqft]]*Lookups!$B$18</f>
        <v>0</v>
      </c>
      <c r="BJ5">
        <f>Granger_Sales[[#This Row],[Patio]]*Lookups!$B$19</f>
        <v>0</v>
      </c>
      <c r="BK5">
        <f>Granger_Sales[[#This Row],[days_prior_to_assessment]]*Lookups!$B$20</f>
        <v>-16118.786399999999</v>
      </c>
      <c r="BL5">
        <f>Granger_Sales[[#This Row],[land_value_1]]</f>
        <v>33951.922087008585</v>
      </c>
      <c r="BM5">
        <f>SUM(Granger_Sales[[#This Row],[Intercept]:[Days_prior_adj]])</f>
        <v>224368.670847</v>
      </c>
      <c r="BN5">
        <f>Granger_Sales[[#This Row],[detatched_value]]</f>
        <v>0</v>
      </c>
      <c r="BO5">
        <f>SUM(Granger_Sales[[#This Row],[predicted_land]:[predicted_det]])</f>
        <v>258320.59293400857</v>
      </c>
      <c r="BP5">
        <f>Granger_Sales[[#This Row],[predicted_total]]/Granger_Sales[[#This Row],[sale_price]]</f>
        <v>1.0332823717360342</v>
      </c>
      <c r="BQ5">
        <f>VLOOKUP(Granger_Sales[[#This Row],[quality]],Lookups!$A$25:$C$35,3,FALSE)</f>
        <v>0.99049976351917957</v>
      </c>
      <c r="BR5">
        <f>VLOOKUP(Granger_Sales[[#This Row],[condition]],Lookups!$A$38:$C$45,3,FALSE)</f>
        <v>0.99135053432734199</v>
      </c>
      <c r="BS5">
        <f>VLOOKUP(Granger_Sales[[#This Row],[decade]],Lookups!$G$28:$I$42,3,FALSE)</f>
        <v>0.99951026660104636</v>
      </c>
      <c r="BT5">
        <f>VLOOKUP(Granger_Sales[[#This Row],[living_area_range]],Lookups!$A$48:$C$57,3,FALSE)</f>
        <v>0.97960506760539345</v>
      </c>
      <c r="BU5">
        <f>Granger_Sales[[#This Row],[predicted_land]]</f>
        <v>33951.922087008585</v>
      </c>
      <c r="BV5">
        <f>Granger_Sales[[#This Row],[predicted_res]]*AVERAGE(Granger_Sales[[#This Row],[qual_adj]:[living_range_adj]])</f>
        <v>222179.14853359255</v>
      </c>
      <c r="BW5">
        <f>Granger_Sales[[#This Row],[predicted_det]]</f>
        <v>0</v>
      </c>
      <c r="BX5">
        <f>SUM(Granger_Sales[[#This Row],[final_land]:[final_det]])</f>
        <v>256131.07062060112</v>
      </c>
      <c r="BY5">
        <f>Granger_Sales[[#This Row],[final_total]]/Granger_Sales[[#This Row],[sale_price]]</f>
        <v>1.0245242824824046</v>
      </c>
      <c r="BZ5" s="7">
        <f>(Granger_Sales[[#This Row],[final_total]]-Granger_Sales[[#This Row],[sale_price]])^2</f>
        <v>37590026.954798251</v>
      </c>
      <c r="CA5" s="7">
        <f>(Granger_Sales[[#This Row],[final_total]]-AVERAGE(Granger_Sales[sale_price]))^2</f>
        <v>29764096.511813458</v>
      </c>
      <c r="CB5" s="7">
        <f>Granger_Sales[[#This Row],[SSE]]+Granger_Sales[[#This Row],[SSR]]</f>
        <v>67354123.466611713</v>
      </c>
      <c r="CC5" s="12">
        <f>ABS(Granger_Sales[[#This Row],[final_ratio]]-MEDIAN(Granger_Sales[final_ratio]))</f>
        <v>3.3985498948643444E-2</v>
      </c>
    </row>
    <row r="6" spans="1:81" x14ac:dyDescent="0.25">
      <c r="A6">
        <v>21102114560</v>
      </c>
      <c r="B6">
        <v>0</v>
      </c>
      <c r="C6">
        <v>13020</v>
      </c>
      <c r="D6">
        <v>0</v>
      </c>
      <c r="E6" t="s">
        <v>54</v>
      </c>
      <c r="F6" t="s">
        <v>54</v>
      </c>
      <c r="G6">
        <v>3</v>
      </c>
      <c r="H6" t="s">
        <v>55</v>
      </c>
      <c r="I6">
        <v>328700</v>
      </c>
      <c r="J6">
        <v>28400</v>
      </c>
      <c r="K6">
        <v>0.3</v>
      </c>
      <c r="L6">
        <v>0</v>
      </c>
      <c r="M6">
        <v>0</v>
      </c>
      <c r="N6">
        <v>0</v>
      </c>
      <c r="O6">
        <v>47108.068500000001</v>
      </c>
      <c r="P6">
        <v>122297.704</v>
      </c>
      <c r="Q6">
        <f>(LN(Granger_Sales[[#This Row],[parcel_acres]])*Granger_Sales[[#This Row],[coeff]])+Granger_Sales[[#This Row],[const]]</f>
        <v>65580.870661676701</v>
      </c>
      <c r="R6" t="s">
        <v>62</v>
      </c>
      <c r="S6">
        <v>1</v>
      </c>
      <c r="T6" t="s">
        <v>61</v>
      </c>
      <c r="U6" t="s">
        <v>58</v>
      </c>
      <c r="V6">
        <v>0</v>
      </c>
      <c r="W6">
        <v>0</v>
      </c>
      <c r="X6">
        <v>2</v>
      </c>
      <c r="Y6">
        <v>2</v>
      </c>
      <c r="Z6">
        <v>0</v>
      </c>
      <c r="AA6">
        <v>2000</v>
      </c>
      <c r="AB6">
        <v>1680</v>
      </c>
      <c r="AC6">
        <v>1680</v>
      </c>
      <c r="AD6">
        <v>0</v>
      </c>
      <c r="AE6">
        <v>0</v>
      </c>
      <c r="AF6">
        <v>0</v>
      </c>
      <c r="AG6">
        <v>700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 t="s">
        <v>59</v>
      </c>
      <c r="AO6">
        <v>1</v>
      </c>
      <c r="AP6" t="s">
        <v>63</v>
      </c>
      <c r="AQ6" t="s">
        <v>65</v>
      </c>
      <c r="AR6">
        <v>1</v>
      </c>
      <c r="AS6">
        <v>3</v>
      </c>
      <c r="AT6">
        <v>0</v>
      </c>
      <c r="AU6">
        <v>0</v>
      </c>
      <c r="AV6">
        <v>100</v>
      </c>
      <c r="AW6" s="1">
        <v>44568</v>
      </c>
      <c r="AX6">
        <v>20700</v>
      </c>
      <c r="AY6">
        <v>354892</v>
      </c>
      <c r="AZ6">
        <v>375600</v>
      </c>
      <c r="BA6">
        <v>382000</v>
      </c>
      <c r="BB6">
        <v>359</v>
      </c>
      <c r="BC6">
        <f>Granger_Sales[[#This Row],[land_extract]]*Lookups!$B$3</f>
        <v>39068.544543977194</v>
      </c>
      <c r="BD6">
        <f>Lookups!$B$2</f>
        <v>29703.559000000001</v>
      </c>
      <c r="BE6">
        <f>VLOOKUP(Granger_Sales[[#This Row],[quality]],Lookups!$H$2:$J$12,3,FALSE)</f>
        <v>71767</v>
      </c>
      <c r="BF6">
        <f>VLOOKUP(Granger_Sales[[#This Row],[condition]],Lookups!$H$17:$J$24,3,FALSE)</f>
        <v>101774</v>
      </c>
      <c r="BG6">
        <f>Granger_Sales[[#This Row],[Age]]*Lookups!$B$16</f>
        <v>-414.66219999999998</v>
      </c>
      <c r="BH6">
        <f>Granger_Sales[[#This Row],[living_area]]*Lookups!$B$17</f>
        <v>113018.48711999999</v>
      </c>
      <c r="BI6">
        <f>Granger_Sales[[#This Row],[garage_sqft]]*Lookups!$B$18</f>
        <v>33913.3102</v>
      </c>
      <c r="BJ6">
        <f>Granger_Sales[[#This Row],[Patio]]*Lookups!$B$19</f>
        <v>0</v>
      </c>
      <c r="BK6">
        <f>Granger_Sales[[#This Row],[days_prior_to_assessment]]*Lookups!$B$20</f>
        <v>-24111.01799</v>
      </c>
      <c r="BL6">
        <f>Granger_Sales[[#This Row],[land_value_1]]</f>
        <v>39068.544543977194</v>
      </c>
      <c r="BM6">
        <f>SUM(Granger_Sales[[#This Row],[Intercept]:[Days_prior_adj]])</f>
        <v>325650.67612999998</v>
      </c>
      <c r="BN6">
        <f>Granger_Sales[[#This Row],[detatched_value]]</f>
        <v>0</v>
      </c>
      <c r="BO6">
        <f>SUM(Granger_Sales[[#This Row],[predicted_land]:[predicted_det]])</f>
        <v>364719.22067397716</v>
      </c>
      <c r="BP6">
        <f>Granger_Sales[[#This Row],[predicted_total]]/Granger_Sales[[#This Row],[sale_price]]</f>
        <v>0.95476235778528051</v>
      </c>
      <c r="BQ6">
        <f>VLOOKUP(Granger_Sales[[#This Row],[quality]],Lookups!$A$25:$C$35,3,FALSE)</f>
        <v>0.992092799099482</v>
      </c>
      <c r="BR6">
        <f>VLOOKUP(Granger_Sales[[#This Row],[condition]],Lookups!$A$38:$C$45,3,FALSE)</f>
        <v>0.99135053432734199</v>
      </c>
      <c r="BS6">
        <f>VLOOKUP(Granger_Sales[[#This Row],[decade]],Lookups!$G$28:$I$42,3,FALSE)</f>
        <v>0.99951026660104636</v>
      </c>
      <c r="BT6">
        <f>VLOOKUP(Granger_Sales[[#This Row],[living_area_range]],Lookups!$A$48:$C$57,3,FALSE)</f>
        <v>0.97860968051050168</v>
      </c>
      <c r="BU6">
        <f>Granger_Sales[[#This Row],[predicted_land]]</f>
        <v>39068.544543977194</v>
      </c>
      <c r="BV6">
        <f>Granger_Sales[[#This Row],[predicted_res]]*AVERAGE(Granger_Sales[[#This Row],[qual_adj]:[living_range_adj]])</f>
        <v>322521.44020977541</v>
      </c>
      <c r="BW6">
        <f>Granger_Sales[[#This Row],[predicted_det]]</f>
        <v>0</v>
      </c>
      <c r="BX6">
        <f>SUM(Granger_Sales[[#This Row],[final_land]:[final_det]])</f>
        <v>361589.98475375259</v>
      </c>
      <c r="BY6">
        <f>Granger_Sales[[#This Row],[final_total]]/Granger_Sales[[#This Row],[sale_price]]</f>
        <v>0.94657064071662977</v>
      </c>
      <c r="BZ6" s="7">
        <f>(Granger_Sales[[#This Row],[final_total]]-Granger_Sales[[#This Row],[sale_price]])^2</f>
        <v>416568722.35205162</v>
      </c>
      <c r="CA6" s="7">
        <f>(Granger_Sales[[#This Row],[final_total]]-AVERAGE(Granger_Sales[sale_price]))^2</f>
        <v>10000653211.417299</v>
      </c>
      <c r="CB6" s="7">
        <f>Granger_Sales[[#This Row],[SSE]]+Granger_Sales[[#This Row],[SSR]]</f>
        <v>10417221933.76935</v>
      </c>
      <c r="CC6" s="12">
        <f>ABS(Granger_Sales[[#This Row],[final_ratio]]-MEDIAN(Granger_Sales[final_ratio]))</f>
        <v>4.396814281713135E-2</v>
      </c>
    </row>
    <row r="7" spans="1:81" x14ac:dyDescent="0.25">
      <c r="A7">
        <v>21101641501</v>
      </c>
      <c r="B7">
        <v>0.14000000000000001</v>
      </c>
      <c r="C7">
        <v>6150</v>
      </c>
      <c r="D7">
        <v>0</v>
      </c>
      <c r="E7" t="s">
        <v>54</v>
      </c>
      <c r="F7" t="s">
        <v>54</v>
      </c>
      <c r="G7">
        <v>3</v>
      </c>
      <c r="H7" t="s">
        <v>55</v>
      </c>
      <c r="I7">
        <v>256100</v>
      </c>
      <c r="J7">
        <v>25900</v>
      </c>
      <c r="K7">
        <v>0.14000000000000001</v>
      </c>
      <c r="L7">
        <v>0</v>
      </c>
      <c r="M7">
        <v>0</v>
      </c>
      <c r="N7">
        <v>0</v>
      </c>
      <c r="O7">
        <v>47108.068500000001</v>
      </c>
      <c r="P7">
        <v>122297.704</v>
      </c>
      <c r="Q7">
        <f>(LN(Granger_Sales[[#This Row],[parcel_acres]])*Granger_Sales[[#This Row],[coeff]])+Granger_Sales[[#This Row],[const]]</f>
        <v>29677.924883257932</v>
      </c>
      <c r="R7" t="s">
        <v>56</v>
      </c>
      <c r="S7">
        <v>1</v>
      </c>
      <c r="T7" t="s">
        <v>64</v>
      </c>
      <c r="U7" t="s">
        <v>58</v>
      </c>
      <c r="V7">
        <v>0</v>
      </c>
      <c r="W7">
        <v>0</v>
      </c>
      <c r="X7">
        <v>2</v>
      </c>
      <c r="Y7">
        <v>2</v>
      </c>
      <c r="Z7">
        <v>0</v>
      </c>
      <c r="AA7">
        <v>2000</v>
      </c>
      <c r="AB7">
        <v>1600</v>
      </c>
      <c r="AC7">
        <v>1600</v>
      </c>
      <c r="AD7">
        <v>0</v>
      </c>
      <c r="AE7">
        <v>0</v>
      </c>
      <c r="AF7">
        <v>0</v>
      </c>
      <c r="AG7">
        <v>288</v>
      </c>
      <c r="AH7">
        <v>0</v>
      </c>
      <c r="AI7">
        <v>0</v>
      </c>
      <c r="AJ7">
        <v>0</v>
      </c>
      <c r="AK7">
        <v>8</v>
      </c>
      <c r="AL7">
        <v>0</v>
      </c>
      <c r="AM7">
        <v>0</v>
      </c>
      <c r="AN7" t="s">
        <v>59</v>
      </c>
      <c r="AO7">
        <v>1</v>
      </c>
      <c r="AP7" t="s">
        <v>63</v>
      </c>
      <c r="AQ7" t="s">
        <v>65</v>
      </c>
      <c r="AR7">
        <v>1</v>
      </c>
      <c r="AS7">
        <v>3</v>
      </c>
      <c r="AT7">
        <v>0</v>
      </c>
      <c r="AU7">
        <v>0</v>
      </c>
      <c r="AV7">
        <v>100</v>
      </c>
      <c r="AW7" s="1">
        <v>44449</v>
      </c>
      <c r="AX7">
        <v>19800</v>
      </c>
      <c r="AY7">
        <v>236341</v>
      </c>
      <c r="AZ7">
        <v>256100</v>
      </c>
      <c r="BA7">
        <v>230000</v>
      </c>
      <c r="BB7">
        <v>478</v>
      </c>
      <c r="BC7">
        <f>Granger_Sales[[#This Row],[land_extract]]*Lookups!$B$3</f>
        <v>17680.053933043157</v>
      </c>
      <c r="BD7">
        <f>Lookups!$B$2</f>
        <v>29703.559000000001</v>
      </c>
      <c r="BE7">
        <f>VLOOKUP(Granger_Sales[[#This Row],[quality]],Lookups!$H$2:$J$12,3,FALSE)</f>
        <v>36568</v>
      </c>
      <c r="BF7">
        <f>VLOOKUP(Granger_Sales[[#This Row],[condition]],Lookups!$H$17:$J$24,3,FALSE)</f>
        <v>101774</v>
      </c>
      <c r="BG7">
        <f>Granger_Sales[[#This Row],[Age]]*Lookups!$B$16</f>
        <v>-414.66219999999998</v>
      </c>
      <c r="BH7">
        <f>Granger_Sales[[#This Row],[living_area]]*Lookups!$B$17</f>
        <v>107636.6544</v>
      </c>
      <c r="BI7">
        <f>Granger_Sales[[#This Row],[garage_sqft]]*Lookups!$B$18</f>
        <v>13952.904768</v>
      </c>
      <c r="BJ7">
        <f>Granger_Sales[[#This Row],[Patio]]*Lookups!$B$19</f>
        <v>0</v>
      </c>
      <c r="BK7">
        <f>Granger_Sales[[#This Row],[days_prior_to_assessment]]*Lookups!$B$20</f>
        <v>-32103.24958</v>
      </c>
      <c r="BL7">
        <f>Granger_Sales[[#This Row],[land_value_1]]</f>
        <v>17680.053933043157</v>
      </c>
      <c r="BM7">
        <f>SUM(Granger_Sales[[#This Row],[Intercept]:[Days_prior_adj]])</f>
        <v>257117.20638799999</v>
      </c>
      <c r="BN7">
        <f>Granger_Sales[[#This Row],[detatched_value]]</f>
        <v>0</v>
      </c>
      <c r="BO7">
        <f>SUM(Granger_Sales[[#This Row],[predicted_land]:[predicted_det]])</f>
        <v>274797.26032104314</v>
      </c>
      <c r="BP7">
        <f>Granger_Sales[[#This Row],[predicted_total]]/Granger_Sales[[#This Row],[sale_price]]</f>
        <v>1.1947706970480136</v>
      </c>
      <c r="BQ7">
        <f>VLOOKUP(Granger_Sales[[#This Row],[quality]],Lookups!$A$25:$C$35,3,FALSE)</f>
        <v>0.99049976351917957</v>
      </c>
      <c r="BR7">
        <f>VLOOKUP(Granger_Sales[[#This Row],[condition]],Lookups!$A$38:$C$45,3,FALSE)</f>
        <v>0.99135053432734199</v>
      </c>
      <c r="BS7">
        <f>VLOOKUP(Granger_Sales[[#This Row],[decade]],Lookups!$G$28:$I$42,3,FALSE)</f>
        <v>0.99951026660104636</v>
      </c>
      <c r="BT7">
        <f>VLOOKUP(Granger_Sales[[#This Row],[living_area_range]],Lookups!$A$48:$C$57,3,FALSE)</f>
        <v>0.97860968051050168</v>
      </c>
      <c r="BU7">
        <f>Granger_Sales[[#This Row],[predicted_land]]</f>
        <v>17680.053933043157</v>
      </c>
      <c r="BV7">
        <f>Granger_Sales[[#This Row],[predicted_res]]*AVERAGE(Granger_Sales[[#This Row],[qual_adj]:[living_range_adj]])</f>
        <v>254544.12169080571</v>
      </c>
      <c r="BW7">
        <f>Granger_Sales[[#This Row],[predicted_det]]</f>
        <v>0</v>
      </c>
      <c r="BX7">
        <f>SUM(Granger_Sales[[#This Row],[final_land]:[final_det]])</f>
        <v>272224.17562384886</v>
      </c>
      <c r="BY7">
        <f>Granger_Sales[[#This Row],[final_total]]/Granger_Sales[[#This Row],[sale_price]]</f>
        <v>1.1835833722776037</v>
      </c>
      <c r="BZ7" s="7">
        <f>(Granger_Sales[[#This Row],[final_total]]-Granger_Sales[[#This Row],[sale_price]])^2</f>
        <v>1782881007.1136322</v>
      </c>
      <c r="CA7" s="7">
        <f>(Granger_Sales[[#This Row],[final_total]]-AVERAGE(Granger_Sales[sale_price]))^2</f>
        <v>113155488.74299435</v>
      </c>
      <c r="CB7" s="7">
        <f>Granger_Sales[[#This Row],[SSE]]+Granger_Sales[[#This Row],[SSR]]</f>
        <v>1896036495.8566265</v>
      </c>
      <c r="CC7" s="12">
        <f>ABS(Granger_Sales[[#This Row],[final_ratio]]-MEDIAN(Granger_Sales[final_ratio]))</f>
        <v>0.19304458874384256</v>
      </c>
    </row>
    <row r="8" spans="1:81" x14ac:dyDescent="0.25">
      <c r="A8">
        <v>21102113469</v>
      </c>
      <c r="B8">
        <v>0.1</v>
      </c>
      <c r="C8">
        <v>4274</v>
      </c>
      <c r="D8">
        <v>0</v>
      </c>
      <c r="E8" t="s">
        <v>54</v>
      </c>
      <c r="F8" t="s">
        <v>54</v>
      </c>
      <c r="G8">
        <v>3</v>
      </c>
      <c r="H8" t="s">
        <v>55</v>
      </c>
      <c r="I8">
        <v>239500</v>
      </c>
      <c r="J8">
        <v>23900</v>
      </c>
      <c r="K8">
        <v>0.1</v>
      </c>
      <c r="L8">
        <v>0</v>
      </c>
      <c r="M8">
        <v>0</v>
      </c>
      <c r="N8">
        <v>0</v>
      </c>
      <c r="O8">
        <v>47108.068500000001</v>
      </c>
      <c r="P8">
        <v>122297.704</v>
      </c>
      <c r="Q8">
        <f>(LN(Granger_Sales[[#This Row],[parcel_acres]])*Granger_Sales[[#This Row],[coeff]])+Granger_Sales[[#This Row],[const]]</f>
        <v>13827.367712157633</v>
      </c>
      <c r="R8" t="s">
        <v>56</v>
      </c>
      <c r="S8">
        <v>1</v>
      </c>
      <c r="T8" t="s">
        <v>57</v>
      </c>
      <c r="U8" t="s">
        <v>58</v>
      </c>
      <c r="V8">
        <v>0</v>
      </c>
      <c r="W8">
        <v>0</v>
      </c>
      <c r="X8">
        <v>2</v>
      </c>
      <c r="Y8">
        <v>2</v>
      </c>
      <c r="Z8">
        <v>0</v>
      </c>
      <c r="AA8">
        <v>1500</v>
      </c>
      <c r="AB8">
        <v>1323</v>
      </c>
      <c r="AC8">
        <v>1323</v>
      </c>
      <c r="AD8">
        <v>0</v>
      </c>
      <c r="AE8">
        <v>0</v>
      </c>
      <c r="AF8">
        <v>0</v>
      </c>
      <c r="AG8">
        <v>0</v>
      </c>
      <c r="AH8">
        <v>264</v>
      </c>
      <c r="AI8">
        <v>0</v>
      </c>
      <c r="AJ8">
        <v>0</v>
      </c>
      <c r="AK8">
        <v>9</v>
      </c>
      <c r="AL8">
        <v>0</v>
      </c>
      <c r="AM8">
        <v>0</v>
      </c>
      <c r="AN8" t="s">
        <v>59</v>
      </c>
      <c r="AO8">
        <v>1</v>
      </c>
      <c r="AP8" t="s">
        <v>63</v>
      </c>
      <c r="AQ8" t="s">
        <v>61</v>
      </c>
      <c r="AR8">
        <v>1</v>
      </c>
      <c r="AS8">
        <v>3</v>
      </c>
      <c r="AT8">
        <v>0</v>
      </c>
      <c r="AU8">
        <v>0</v>
      </c>
      <c r="AV8">
        <v>100</v>
      </c>
      <c r="AW8" s="1">
        <v>44292</v>
      </c>
      <c r="AX8">
        <v>18200</v>
      </c>
      <c r="AY8">
        <v>235047</v>
      </c>
      <c r="AZ8">
        <v>253200</v>
      </c>
      <c r="BA8">
        <v>245000</v>
      </c>
      <c r="BB8">
        <v>635</v>
      </c>
      <c r="BC8">
        <f>Granger_Sales[[#This Row],[land_extract]]*Lookups!$B$3</f>
        <v>8237.3888290578361</v>
      </c>
      <c r="BD8">
        <f>Lookups!$B$2</f>
        <v>29703.559000000001</v>
      </c>
      <c r="BE8">
        <f>VLOOKUP(Granger_Sales[[#This Row],[quality]],Lookups!$H$2:$J$12,3,FALSE)</f>
        <v>56414</v>
      </c>
      <c r="BF8">
        <f>VLOOKUP(Granger_Sales[[#This Row],[condition]],Lookups!$H$17:$J$24,3,FALSE)</f>
        <v>101774</v>
      </c>
      <c r="BG8">
        <f>Granger_Sales[[#This Row],[Age]]*Lookups!$B$16</f>
        <v>-414.66219999999998</v>
      </c>
      <c r="BH8">
        <f>Granger_Sales[[#This Row],[living_area]]*Lookups!$B$17</f>
        <v>89002.058606999999</v>
      </c>
      <c r="BI8">
        <f>Granger_Sales[[#This Row],[garage_sqft]]*Lookups!$B$18</f>
        <v>0</v>
      </c>
      <c r="BJ8">
        <f>Granger_Sales[[#This Row],[Patio]]*Lookups!$B$19</f>
        <v>0</v>
      </c>
      <c r="BK8">
        <f>Granger_Sales[[#This Row],[days_prior_to_assessment]]*Lookups!$B$20</f>
        <v>-42647.622349999998</v>
      </c>
      <c r="BL8">
        <f>Granger_Sales[[#This Row],[land_value_1]]</f>
        <v>8237.3888290578361</v>
      </c>
      <c r="BM8">
        <f>SUM(Granger_Sales[[#This Row],[Intercept]:[Days_prior_adj]])</f>
        <v>233831.33305700004</v>
      </c>
      <c r="BN8">
        <f>Granger_Sales[[#This Row],[detatched_value]]</f>
        <v>0</v>
      </c>
      <c r="BO8">
        <f>SUM(Granger_Sales[[#This Row],[predicted_land]:[predicted_det]])</f>
        <v>242068.72188605787</v>
      </c>
      <c r="BP8">
        <f>Granger_Sales[[#This Row],[predicted_total]]/Granger_Sales[[#This Row],[sale_price]]</f>
        <v>0.98803559953493014</v>
      </c>
      <c r="BQ8">
        <f>VLOOKUP(Granger_Sales[[#This Row],[quality]],Lookups!$A$25:$C$35,3,FALSE)</f>
        <v>0.98791809110152173</v>
      </c>
      <c r="BR8">
        <f>VLOOKUP(Granger_Sales[[#This Row],[condition]],Lookups!$A$38:$C$45,3,FALSE)</f>
        <v>0.99135053432734199</v>
      </c>
      <c r="BS8">
        <f>VLOOKUP(Granger_Sales[[#This Row],[decade]],Lookups!$G$28:$I$42,3,FALSE)</f>
        <v>0.99951026660104636</v>
      </c>
      <c r="BT8">
        <f>VLOOKUP(Granger_Sales[[#This Row],[living_area_range]],Lookups!$A$48:$C$57,3,FALSE)</f>
        <v>0.97960506760539345</v>
      </c>
      <c r="BU8">
        <f>Granger_Sales[[#This Row],[predicted_land]]</f>
        <v>8237.3888290578361</v>
      </c>
      <c r="BV8">
        <f>Granger_Sales[[#This Row],[predicted_res]]*AVERAGE(Granger_Sales[[#This Row],[qual_adj]:[living_range_adj]])</f>
        <v>231398.54950824231</v>
      </c>
      <c r="BW8">
        <f>Granger_Sales[[#This Row],[predicted_det]]</f>
        <v>0</v>
      </c>
      <c r="BX8">
        <f>SUM(Granger_Sales[[#This Row],[final_land]:[final_det]])</f>
        <v>239635.93833730015</v>
      </c>
      <c r="BY8">
        <f>Granger_Sales[[#This Row],[final_total]]/Granger_Sales[[#This Row],[sale_price]]</f>
        <v>0.9781058707644904</v>
      </c>
      <c r="BZ8" s="7">
        <f>(Granger_Sales[[#This Row],[final_total]]-Granger_Sales[[#This Row],[sale_price]])^2</f>
        <v>28773157.521246307</v>
      </c>
      <c r="CA8" s="7">
        <f>(Granger_Sales[[#This Row],[final_total]]-AVERAGE(Granger_Sales[sale_price]))^2</f>
        <v>481836760.72656751</v>
      </c>
      <c r="CB8" s="7">
        <f>Granger_Sales[[#This Row],[SSE]]+Granger_Sales[[#This Row],[SSR]]</f>
        <v>510609918.24781382</v>
      </c>
      <c r="CC8" s="12">
        <f>ABS(Granger_Sales[[#This Row],[final_ratio]]-MEDIAN(Granger_Sales[final_ratio]))</f>
        <v>1.2432912769270721E-2</v>
      </c>
    </row>
    <row r="9" spans="1:81" x14ac:dyDescent="0.25">
      <c r="A9">
        <v>21102141410</v>
      </c>
      <c r="B9">
        <v>0.16</v>
      </c>
      <c r="C9">
        <v>0</v>
      </c>
      <c r="D9">
        <v>0</v>
      </c>
      <c r="E9" t="s">
        <v>54</v>
      </c>
      <c r="F9" t="s">
        <v>54</v>
      </c>
      <c r="G9">
        <v>3</v>
      </c>
      <c r="H9" t="s">
        <v>55</v>
      </c>
      <c r="I9">
        <v>262700</v>
      </c>
      <c r="J9">
        <v>25000</v>
      </c>
      <c r="K9">
        <v>0.16</v>
      </c>
      <c r="L9">
        <v>0</v>
      </c>
      <c r="M9">
        <v>0</v>
      </c>
      <c r="N9">
        <v>0</v>
      </c>
      <c r="O9">
        <v>47108.068500000001</v>
      </c>
      <c r="P9">
        <v>122297.704</v>
      </c>
      <c r="Q9">
        <f>(LN(Granger_Sales[[#This Row],[parcel_acres]])*Granger_Sales[[#This Row],[coeff]])+Granger_Sales[[#This Row],[const]]</f>
        <v>35968.330873914325</v>
      </c>
      <c r="R9" t="s">
        <v>56</v>
      </c>
      <c r="S9">
        <v>1</v>
      </c>
      <c r="T9" t="s">
        <v>57</v>
      </c>
      <c r="U9" t="s">
        <v>58</v>
      </c>
      <c r="V9">
        <v>0</v>
      </c>
      <c r="W9">
        <v>0</v>
      </c>
      <c r="X9">
        <v>3</v>
      </c>
      <c r="Y9">
        <v>3</v>
      </c>
      <c r="Z9">
        <v>0</v>
      </c>
      <c r="AA9">
        <v>2000</v>
      </c>
      <c r="AB9">
        <v>1600</v>
      </c>
      <c r="AC9">
        <v>1600</v>
      </c>
      <c r="AD9">
        <v>0</v>
      </c>
      <c r="AE9">
        <v>0</v>
      </c>
      <c r="AF9">
        <v>0</v>
      </c>
      <c r="AG9">
        <v>288</v>
      </c>
      <c r="AH9">
        <v>0</v>
      </c>
      <c r="AI9">
        <v>128</v>
      </c>
      <c r="AJ9">
        <v>0</v>
      </c>
      <c r="AK9">
        <v>9</v>
      </c>
      <c r="AL9">
        <v>0</v>
      </c>
      <c r="AM9">
        <v>0</v>
      </c>
      <c r="AN9" t="s">
        <v>59</v>
      </c>
      <c r="AO9">
        <v>1</v>
      </c>
      <c r="AP9" t="s">
        <v>63</v>
      </c>
      <c r="AQ9" t="s">
        <v>65</v>
      </c>
      <c r="AR9">
        <v>1</v>
      </c>
      <c r="AS9">
        <v>3</v>
      </c>
      <c r="AT9">
        <v>0</v>
      </c>
      <c r="AU9">
        <v>0</v>
      </c>
      <c r="AV9">
        <v>100</v>
      </c>
      <c r="AW9" s="1">
        <v>44175</v>
      </c>
      <c r="AX9">
        <v>17900</v>
      </c>
      <c r="AY9">
        <v>271546</v>
      </c>
      <c r="AZ9">
        <v>289400</v>
      </c>
      <c r="BA9">
        <v>275500</v>
      </c>
      <c r="BB9">
        <v>752</v>
      </c>
      <c r="BC9">
        <f>Granger_Sales[[#This Row],[land_extract]]*Lookups!$B$3</f>
        <v>21427.44252618168</v>
      </c>
      <c r="BD9">
        <f>Lookups!$B$2</f>
        <v>29703.559000000001</v>
      </c>
      <c r="BE9">
        <f>VLOOKUP(Granger_Sales[[#This Row],[quality]],Lookups!$H$2:$J$12,3,FALSE)</f>
        <v>56414</v>
      </c>
      <c r="BF9">
        <f>VLOOKUP(Granger_Sales[[#This Row],[condition]],Lookups!$H$17:$J$24,3,FALSE)</f>
        <v>101774</v>
      </c>
      <c r="BG9">
        <f>Granger_Sales[[#This Row],[Age]]*Lookups!$B$16</f>
        <v>-621.99329999999998</v>
      </c>
      <c r="BH9">
        <f>Granger_Sales[[#This Row],[living_area]]*Lookups!$B$17</f>
        <v>107636.6544</v>
      </c>
      <c r="BI9">
        <f>Granger_Sales[[#This Row],[garage_sqft]]*Lookups!$B$18</f>
        <v>13952.904768</v>
      </c>
      <c r="BJ9">
        <f>Granger_Sales[[#This Row],[Patio]]*Lookups!$B$19</f>
        <v>0</v>
      </c>
      <c r="BK9">
        <f>Granger_Sales[[#This Row],[days_prior_to_assessment]]*Lookups!$B$20</f>
        <v>-50505.530719999995</v>
      </c>
      <c r="BL9">
        <f>Granger_Sales[[#This Row],[land_value_1]]</f>
        <v>21427.44252618168</v>
      </c>
      <c r="BM9">
        <f>SUM(Granger_Sales[[#This Row],[Intercept]:[Days_prior_adj]])</f>
        <v>258353.59414800006</v>
      </c>
      <c r="BN9">
        <f>Granger_Sales[[#This Row],[detatched_value]]</f>
        <v>0</v>
      </c>
      <c r="BO9">
        <f>SUM(Granger_Sales[[#This Row],[predicted_land]:[predicted_det]])</f>
        <v>279781.03667418176</v>
      </c>
      <c r="BP9">
        <f>Granger_Sales[[#This Row],[predicted_total]]/Granger_Sales[[#This Row],[sale_price]]</f>
        <v>1.0155391530823294</v>
      </c>
      <c r="BQ9">
        <f>VLOOKUP(Granger_Sales[[#This Row],[quality]],Lookups!$A$25:$C$35,3,FALSE)</f>
        <v>0.98791809110152173</v>
      </c>
      <c r="BR9">
        <f>VLOOKUP(Granger_Sales[[#This Row],[condition]],Lookups!$A$38:$C$45,3,FALSE)</f>
        <v>0.99135053432734199</v>
      </c>
      <c r="BS9">
        <f>VLOOKUP(Granger_Sales[[#This Row],[decade]],Lookups!$G$28:$I$42,3,FALSE)</f>
        <v>0.99951026660104636</v>
      </c>
      <c r="BT9">
        <f>VLOOKUP(Granger_Sales[[#This Row],[living_area_range]],Lookups!$A$48:$C$57,3,FALSE)</f>
        <v>0.97860968051050168</v>
      </c>
      <c r="BU9">
        <f>Granger_Sales[[#This Row],[predicted_land]]</f>
        <v>21427.44252618168</v>
      </c>
      <c r="BV9">
        <f>Granger_Sales[[#This Row],[predicted_res]]*AVERAGE(Granger_Sales[[#This Row],[qual_adj]:[living_range_adj]])</f>
        <v>255601.39028900972</v>
      </c>
      <c r="BW9">
        <f>Granger_Sales[[#This Row],[predicted_det]]</f>
        <v>0</v>
      </c>
      <c r="BX9">
        <f>SUM(Granger_Sales[[#This Row],[final_land]:[final_det]])</f>
        <v>277028.83281519142</v>
      </c>
      <c r="BY9">
        <f>Granger_Sales[[#This Row],[final_total]]/Granger_Sales[[#This Row],[sale_price]]</f>
        <v>1.0055493024144879</v>
      </c>
      <c r="BZ9" s="7">
        <f>(Granger_Sales[[#This Row],[final_total]]-Granger_Sales[[#This Row],[sale_price]])^2</f>
        <v>2337329.7768061147</v>
      </c>
      <c r="CA9" s="7">
        <f>(Granger_Sales[[#This Row],[final_total]]-AVERAGE(Granger_Sales[sale_price]))^2</f>
        <v>238458886.80238262</v>
      </c>
      <c r="CB9" s="7">
        <f>Granger_Sales[[#This Row],[SSE]]+Granger_Sales[[#This Row],[SSR]]</f>
        <v>240796216.57918873</v>
      </c>
      <c r="CC9" s="12">
        <f>ABS(Granger_Sales[[#This Row],[final_ratio]]-MEDIAN(Granger_Sales[final_ratio]))</f>
        <v>1.5010518880726798E-2</v>
      </c>
    </row>
    <row r="10" spans="1:81" x14ac:dyDescent="0.25">
      <c r="A10">
        <v>21102231411</v>
      </c>
      <c r="B10">
        <v>0.17</v>
      </c>
      <c r="C10">
        <v>7375</v>
      </c>
      <c r="D10">
        <v>0</v>
      </c>
      <c r="E10" t="s">
        <v>54</v>
      </c>
      <c r="F10" t="s">
        <v>54</v>
      </c>
      <c r="G10">
        <v>3</v>
      </c>
      <c r="H10" t="s">
        <v>55</v>
      </c>
      <c r="I10">
        <v>322700</v>
      </c>
      <c r="J10">
        <v>27100</v>
      </c>
      <c r="K10">
        <v>0.17</v>
      </c>
      <c r="L10">
        <v>0</v>
      </c>
      <c r="M10">
        <v>0</v>
      </c>
      <c r="N10">
        <v>0</v>
      </c>
      <c r="O10">
        <v>47108.068500000001</v>
      </c>
      <c r="P10">
        <v>122297.704</v>
      </c>
      <c r="Q10">
        <f>(LN(Granger_Sales[[#This Row],[parcel_acres]])*Granger_Sales[[#This Row],[coeff]])+Granger_Sales[[#This Row],[const]]</f>
        <v>38824.239711229544</v>
      </c>
      <c r="R10" t="s">
        <v>59</v>
      </c>
      <c r="S10">
        <v>1</v>
      </c>
      <c r="T10" t="s">
        <v>57</v>
      </c>
      <c r="U10" t="s">
        <v>58</v>
      </c>
      <c r="V10">
        <v>0</v>
      </c>
      <c r="W10">
        <v>0</v>
      </c>
      <c r="X10">
        <v>3</v>
      </c>
      <c r="Y10">
        <v>3</v>
      </c>
      <c r="Z10">
        <v>0</v>
      </c>
      <c r="AA10">
        <v>2000</v>
      </c>
      <c r="AB10">
        <v>1564</v>
      </c>
      <c r="AC10">
        <v>1564</v>
      </c>
      <c r="AD10">
        <v>0</v>
      </c>
      <c r="AE10">
        <v>0</v>
      </c>
      <c r="AF10">
        <v>0</v>
      </c>
      <c r="AG10">
        <v>560</v>
      </c>
      <c r="AH10">
        <v>0</v>
      </c>
      <c r="AI10">
        <v>0</v>
      </c>
      <c r="AJ10">
        <v>0</v>
      </c>
      <c r="AK10">
        <v>8</v>
      </c>
      <c r="AL10">
        <v>0</v>
      </c>
      <c r="AM10">
        <v>0</v>
      </c>
      <c r="AN10" t="s">
        <v>59</v>
      </c>
      <c r="AO10">
        <v>1</v>
      </c>
      <c r="AP10" t="s">
        <v>63</v>
      </c>
      <c r="AQ10" t="s">
        <v>65</v>
      </c>
      <c r="AR10">
        <v>1</v>
      </c>
      <c r="AS10">
        <v>3</v>
      </c>
      <c r="AT10">
        <v>0</v>
      </c>
      <c r="AU10">
        <v>0</v>
      </c>
      <c r="AV10">
        <v>100</v>
      </c>
      <c r="AW10" s="1">
        <v>44028</v>
      </c>
      <c r="AX10">
        <v>20600</v>
      </c>
      <c r="AY10">
        <v>271538</v>
      </c>
      <c r="AZ10">
        <v>292100</v>
      </c>
      <c r="BA10">
        <v>285000</v>
      </c>
      <c r="BB10">
        <v>899</v>
      </c>
      <c r="BC10">
        <f>Granger_Sales[[#This Row],[land_extract]]*Lookups!$B$3</f>
        <v>23128.795382562545</v>
      </c>
      <c r="BD10">
        <f>Lookups!$B$2</f>
        <v>29703.559000000001</v>
      </c>
      <c r="BE10">
        <f>VLOOKUP(Granger_Sales[[#This Row],[quality]],Lookups!$H$2:$J$12,3,FALSE)</f>
        <v>56414</v>
      </c>
      <c r="BF10">
        <f>VLOOKUP(Granger_Sales[[#This Row],[condition]],Lookups!$H$17:$J$24,3,FALSE)</f>
        <v>101774</v>
      </c>
      <c r="BG10">
        <f>Granger_Sales[[#This Row],[Age]]*Lookups!$B$16</f>
        <v>-621.99329999999998</v>
      </c>
      <c r="BH10">
        <f>Granger_Sales[[#This Row],[living_area]]*Lookups!$B$17</f>
        <v>105214.82967599999</v>
      </c>
      <c r="BI10">
        <f>Granger_Sales[[#This Row],[garage_sqft]]*Lookups!$B$18</f>
        <v>27130.648160000001</v>
      </c>
      <c r="BJ10">
        <f>Granger_Sales[[#This Row],[Patio]]*Lookups!$B$19</f>
        <v>0</v>
      </c>
      <c r="BK10">
        <f>Granger_Sales[[#This Row],[days_prior_to_assessment]]*Lookups!$B$20</f>
        <v>-60378.287389999998</v>
      </c>
      <c r="BL10">
        <f>Granger_Sales[[#This Row],[land_value_1]]</f>
        <v>23128.795382562545</v>
      </c>
      <c r="BM10">
        <f>SUM(Granger_Sales[[#This Row],[Intercept]:[Days_prior_adj]])</f>
        <v>259236.75614599994</v>
      </c>
      <c r="BN10">
        <f>Granger_Sales[[#This Row],[detatched_value]]</f>
        <v>0</v>
      </c>
      <c r="BO10">
        <f>SUM(Granger_Sales[[#This Row],[predicted_land]:[predicted_det]])</f>
        <v>282365.5515285625</v>
      </c>
      <c r="BP10">
        <f>Granger_Sales[[#This Row],[predicted_total]]/Granger_Sales[[#This Row],[sale_price]]</f>
        <v>0.99075632115285084</v>
      </c>
      <c r="BQ10">
        <f>VLOOKUP(Granger_Sales[[#This Row],[quality]],Lookups!$A$25:$C$35,3,FALSE)</f>
        <v>0.98791809110152173</v>
      </c>
      <c r="BR10">
        <f>VLOOKUP(Granger_Sales[[#This Row],[condition]],Lookups!$A$38:$C$45,3,FALSE)</f>
        <v>0.99135053432734199</v>
      </c>
      <c r="BS10">
        <f>VLOOKUP(Granger_Sales[[#This Row],[decade]],Lookups!$G$28:$I$42,3,FALSE)</f>
        <v>0.99951026660104636</v>
      </c>
      <c r="BT10">
        <f>VLOOKUP(Granger_Sales[[#This Row],[living_area_range]],Lookups!$A$48:$C$57,3,FALSE)</f>
        <v>0.97860968051050168</v>
      </c>
      <c r="BU10">
        <f>Granger_Sales[[#This Row],[predicted_land]]</f>
        <v>23128.795382562545</v>
      </c>
      <c r="BV10">
        <f>Granger_Sales[[#This Row],[predicted_res]]*AVERAGE(Granger_Sales[[#This Row],[qual_adj]:[living_range_adj]])</f>
        <v>256475.14408865638</v>
      </c>
      <c r="BW10">
        <f>Granger_Sales[[#This Row],[predicted_det]]</f>
        <v>0</v>
      </c>
      <c r="BX10">
        <f>SUM(Granger_Sales[[#This Row],[final_land]:[final_det]])</f>
        <v>279603.93947121891</v>
      </c>
      <c r="BY10">
        <f>Granger_Sales[[#This Row],[final_total]]/Granger_Sales[[#This Row],[sale_price]]</f>
        <v>0.98106645428497863</v>
      </c>
      <c r="BZ10" s="7">
        <f>(Granger_Sales[[#This Row],[final_total]]-Granger_Sales[[#This Row],[sale_price]])^2</f>
        <v>29117469.230269261</v>
      </c>
      <c r="CA10" s="7">
        <f>(Granger_Sales[[#This Row],[final_total]]-AVERAGE(Granger_Sales[sale_price]))^2</f>
        <v>324620242.51712006</v>
      </c>
      <c r="CB10" s="7">
        <f>Granger_Sales[[#This Row],[SSE]]+Granger_Sales[[#This Row],[SSR]]</f>
        <v>353737711.74738932</v>
      </c>
      <c r="CC10" s="12">
        <f>ABS(Granger_Sales[[#This Row],[final_ratio]]-MEDIAN(Granger_Sales[final_ratio]))</f>
        <v>9.4723292487824962E-3</v>
      </c>
    </row>
    <row r="11" spans="1:81" x14ac:dyDescent="0.25">
      <c r="A11">
        <v>21101613404</v>
      </c>
      <c r="B11">
        <v>0.56999999999999995</v>
      </c>
      <c r="C11">
        <v>0</v>
      </c>
      <c r="D11">
        <v>0</v>
      </c>
      <c r="E11" t="s">
        <v>54</v>
      </c>
      <c r="F11" t="s">
        <v>54</v>
      </c>
      <c r="G11">
        <v>3</v>
      </c>
      <c r="H11" t="s">
        <v>55</v>
      </c>
      <c r="I11">
        <v>285500</v>
      </c>
      <c r="J11">
        <v>32000</v>
      </c>
      <c r="K11">
        <v>0.56999999999999995</v>
      </c>
      <c r="L11">
        <v>0</v>
      </c>
      <c r="M11">
        <v>0</v>
      </c>
      <c r="N11">
        <v>0</v>
      </c>
      <c r="O11">
        <v>47108.068500000001</v>
      </c>
      <c r="P11">
        <v>122297.704</v>
      </c>
      <c r="Q11">
        <f>(LN(Granger_Sales[[#This Row],[parcel_acres]])*Granger_Sales[[#This Row],[coeff]])+Granger_Sales[[#This Row],[const]]</f>
        <v>95817.367498477077</v>
      </c>
      <c r="R11" t="s">
        <v>56</v>
      </c>
      <c r="S11">
        <v>1</v>
      </c>
      <c r="T11" t="s">
        <v>57</v>
      </c>
      <c r="U11" t="s">
        <v>58</v>
      </c>
      <c r="V11">
        <v>0</v>
      </c>
      <c r="W11">
        <v>0</v>
      </c>
      <c r="X11">
        <v>3</v>
      </c>
      <c r="Y11">
        <v>3</v>
      </c>
      <c r="Z11">
        <v>0</v>
      </c>
      <c r="AA11">
        <v>2000</v>
      </c>
      <c r="AB11">
        <v>1644</v>
      </c>
      <c r="AC11">
        <v>1644</v>
      </c>
      <c r="AD11">
        <v>0</v>
      </c>
      <c r="AE11">
        <v>0</v>
      </c>
      <c r="AF11">
        <v>0</v>
      </c>
      <c r="AG11">
        <v>576</v>
      </c>
      <c r="AH11">
        <v>0</v>
      </c>
      <c r="AI11">
        <v>0</v>
      </c>
      <c r="AJ11">
        <v>0</v>
      </c>
      <c r="AK11">
        <v>9</v>
      </c>
      <c r="AL11">
        <v>0</v>
      </c>
      <c r="AM11">
        <v>0</v>
      </c>
      <c r="AN11" t="s">
        <v>59</v>
      </c>
      <c r="AO11">
        <v>1</v>
      </c>
      <c r="AP11" t="s">
        <v>63</v>
      </c>
      <c r="AQ11" t="s">
        <v>65</v>
      </c>
      <c r="AR11">
        <v>1</v>
      </c>
      <c r="AS11">
        <v>3</v>
      </c>
      <c r="AT11">
        <v>0</v>
      </c>
      <c r="AU11">
        <v>0</v>
      </c>
      <c r="AV11">
        <v>100</v>
      </c>
      <c r="AW11" s="1">
        <v>44050</v>
      </c>
      <c r="AX11">
        <v>23800</v>
      </c>
      <c r="AY11">
        <v>296043</v>
      </c>
      <c r="AZ11">
        <v>319800</v>
      </c>
      <c r="BA11">
        <v>307770</v>
      </c>
      <c r="BB11">
        <v>877</v>
      </c>
      <c r="BC11">
        <f>Granger_Sales[[#This Row],[land_extract]]*Lookups!$B$3</f>
        <v>57081.35699376175</v>
      </c>
      <c r="BD11">
        <f>Lookups!$B$2</f>
        <v>29703.559000000001</v>
      </c>
      <c r="BE11">
        <f>VLOOKUP(Granger_Sales[[#This Row],[quality]],Lookups!$H$2:$J$12,3,FALSE)</f>
        <v>56414</v>
      </c>
      <c r="BF11">
        <f>VLOOKUP(Granger_Sales[[#This Row],[condition]],Lookups!$H$17:$J$24,3,FALSE)</f>
        <v>101774</v>
      </c>
      <c r="BG11">
        <f>Granger_Sales[[#This Row],[Age]]*Lookups!$B$16</f>
        <v>-621.99329999999998</v>
      </c>
      <c r="BH11">
        <f>Granger_Sales[[#This Row],[living_area]]*Lookups!$B$17</f>
        <v>110596.662396</v>
      </c>
      <c r="BI11">
        <f>Granger_Sales[[#This Row],[garage_sqft]]*Lookups!$B$18</f>
        <v>27905.809536000001</v>
      </c>
      <c r="BJ11">
        <f>Granger_Sales[[#This Row],[Patio]]*Lookups!$B$19</f>
        <v>0</v>
      </c>
      <c r="BK11">
        <f>Granger_Sales[[#This Row],[days_prior_to_assessment]]*Lookups!$B$20</f>
        <v>-58900.731969999993</v>
      </c>
      <c r="BL11">
        <f>Granger_Sales[[#This Row],[land_value_1]]</f>
        <v>57081.35699376175</v>
      </c>
      <c r="BM11">
        <f>SUM(Granger_Sales[[#This Row],[Intercept]:[Days_prior_adj]])</f>
        <v>266871.30566200009</v>
      </c>
      <c r="BN11">
        <f>Granger_Sales[[#This Row],[detatched_value]]</f>
        <v>0</v>
      </c>
      <c r="BO11">
        <f>SUM(Granger_Sales[[#This Row],[predicted_land]:[predicted_det]])</f>
        <v>323952.66265576181</v>
      </c>
      <c r="BP11">
        <f>Granger_Sales[[#This Row],[predicted_total]]/Granger_Sales[[#This Row],[sale_price]]</f>
        <v>1.0525803770860116</v>
      </c>
      <c r="BQ11">
        <f>VLOOKUP(Granger_Sales[[#This Row],[quality]],Lookups!$A$25:$C$35,3,FALSE)</f>
        <v>0.98791809110152173</v>
      </c>
      <c r="BR11">
        <f>VLOOKUP(Granger_Sales[[#This Row],[condition]],Lookups!$A$38:$C$45,3,FALSE)</f>
        <v>0.99135053432734199</v>
      </c>
      <c r="BS11">
        <f>VLOOKUP(Granger_Sales[[#This Row],[decade]],Lookups!$G$28:$I$42,3,FALSE)</f>
        <v>0.99951026660104636</v>
      </c>
      <c r="BT11">
        <f>VLOOKUP(Granger_Sales[[#This Row],[living_area_range]],Lookups!$A$48:$C$57,3,FALSE)</f>
        <v>0.97860968051050168</v>
      </c>
      <c r="BU11">
        <f>Granger_Sales[[#This Row],[predicted_land]]</f>
        <v>57081.35699376175</v>
      </c>
      <c r="BV11">
        <f>Granger_Sales[[#This Row],[predicted_res]]*AVERAGE(Granger_Sales[[#This Row],[qual_adj]:[living_range_adj]])</f>
        <v>264028.36384143459</v>
      </c>
      <c r="BW11">
        <f>Granger_Sales[[#This Row],[predicted_det]]</f>
        <v>0</v>
      </c>
      <c r="BX11">
        <f>SUM(Granger_Sales[[#This Row],[final_land]:[final_det]])</f>
        <v>321109.72083519632</v>
      </c>
      <c r="BY11">
        <f>Granger_Sales[[#This Row],[final_total]]/Granger_Sales[[#This Row],[sale_price]]</f>
        <v>1.0433431485693743</v>
      </c>
      <c r="BZ11" s="7">
        <f>(Granger_Sales[[#This Row],[final_total]]-Granger_Sales[[#This Row],[sale_price]])^2</f>
        <v>177948151.96097082</v>
      </c>
      <c r="CA11" s="7">
        <f>(Granger_Sales[[#This Row],[final_total]]-AVERAGE(Granger_Sales[sale_price]))^2</f>
        <v>3542987777.2342854</v>
      </c>
      <c r="CB11" s="7">
        <f>Granger_Sales[[#This Row],[SSE]]+Granger_Sales[[#This Row],[SSR]]</f>
        <v>3720935929.1952562</v>
      </c>
      <c r="CC11" s="12">
        <f>ABS(Granger_Sales[[#This Row],[final_ratio]]-MEDIAN(Granger_Sales[final_ratio]))</f>
        <v>5.2804365035613143E-2</v>
      </c>
    </row>
    <row r="12" spans="1:81" x14ac:dyDescent="0.25">
      <c r="A12">
        <v>21102112494</v>
      </c>
      <c r="B12">
        <v>0</v>
      </c>
      <c r="C12">
        <v>8401</v>
      </c>
      <c r="D12">
        <v>0</v>
      </c>
      <c r="E12" t="s">
        <v>54</v>
      </c>
      <c r="F12" t="s">
        <v>54</v>
      </c>
      <c r="G12">
        <v>3</v>
      </c>
      <c r="H12" t="s">
        <v>55</v>
      </c>
      <c r="I12">
        <v>210800</v>
      </c>
      <c r="J12">
        <v>27800</v>
      </c>
      <c r="K12">
        <v>0.19</v>
      </c>
      <c r="L12">
        <v>0</v>
      </c>
      <c r="M12">
        <v>0</v>
      </c>
      <c r="N12">
        <v>0</v>
      </c>
      <c r="O12">
        <v>47108.068500000001</v>
      </c>
      <c r="P12">
        <v>122297.704</v>
      </c>
      <c r="Q12">
        <f>(LN(Granger_Sales[[#This Row],[parcel_acres]])*Granger_Sales[[#This Row],[coeff]])+Granger_Sales[[#This Row],[const]]</f>
        <v>44063.864548957994</v>
      </c>
      <c r="R12" t="s">
        <v>66</v>
      </c>
      <c r="S12">
        <v>1</v>
      </c>
      <c r="T12" t="s">
        <v>64</v>
      </c>
      <c r="U12" t="s">
        <v>58</v>
      </c>
      <c r="V12">
        <v>0</v>
      </c>
      <c r="W12">
        <v>0</v>
      </c>
      <c r="X12">
        <v>3</v>
      </c>
      <c r="Y12">
        <v>3</v>
      </c>
      <c r="Z12">
        <v>0</v>
      </c>
      <c r="AA12">
        <v>1500</v>
      </c>
      <c r="AB12">
        <v>1080</v>
      </c>
      <c r="AC12">
        <v>1080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</v>
      </c>
      <c r="AL12">
        <v>0</v>
      </c>
      <c r="AM12">
        <v>0</v>
      </c>
      <c r="AN12" t="s">
        <v>59</v>
      </c>
      <c r="AO12">
        <v>1</v>
      </c>
      <c r="AP12" t="s">
        <v>67</v>
      </c>
      <c r="AQ12" t="s">
        <v>65</v>
      </c>
      <c r="AR12">
        <v>1</v>
      </c>
      <c r="AS12">
        <v>3</v>
      </c>
      <c r="AT12">
        <v>0</v>
      </c>
      <c r="AU12">
        <v>0</v>
      </c>
      <c r="AV12">
        <v>100</v>
      </c>
      <c r="AW12" s="1">
        <v>44071</v>
      </c>
      <c r="AX12">
        <v>21200</v>
      </c>
      <c r="AY12">
        <v>150050</v>
      </c>
      <c r="AZ12">
        <v>171300</v>
      </c>
      <c r="BA12">
        <v>219000</v>
      </c>
      <c r="BB12">
        <v>856</v>
      </c>
      <c r="BC12">
        <f>Granger_Sales[[#This Row],[land_extract]]*Lookups!$B$3</f>
        <v>26250.201278842385</v>
      </c>
      <c r="BD12">
        <f>Lookups!$B$2</f>
        <v>29703.559000000001</v>
      </c>
      <c r="BE12">
        <f>VLOOKUP(Granger_Sales[[#This Row],[quality]],Lookups!$H$2:$J$12,3,FALSE)</f>
        <v>36568</v>
      </c>
      <c r="BF12">
        <f>VLOOKUP(Granger_Sales[[#This Row],[condition]],Lookups!$H$17:$J$24,3,FALSE)</f>
        <v>101774</v>
      </c>
      <c r="BG12">
        <f>Granger_Sales[[#This Row],[Age]]*Lookups!$B$16</f>
        <v>-621.99329999999998</v>
      </c>
      <c r="BH12">
        <f>Granger_Sales[[#This Row],[living_area]]*Lookups!$B$17</f>
        <v>72654.741720000005</v>
      </c>
      <c r="BI12">
        <f>Granger_Sales[[#This Row],[garage_sqft]]*Lookups!$B$18</f>
        <v>0</v>
      </c>
      <c r="BJ12">
        <f>Granger_Sales[[#This Row],[Patio]]*Lookups!$B$19</f>
        <v>0</v>
      </c>
      <c r="BK12">
        <f>Granger_Sales[[#This Row],[days_prior_to_assessment]]*Lookups!$B$20</f>
        <v>-57490.338159999999</v>
      </c>
      <c r="BL12">
        <f>Granger_Sales[[#This Row],[land_value_1]]</f>
        <v>26250.201278842385</v>
      </c>
      <c r="BM12">
        <f>SUM(Granger_Sales[[#This Row],[Intercept]:[Days_prior_adj]])</f>
        <v>182587.96926000004</v>
      </c>
      <c r="BN12">
        <f>Granger_Sales[[#This Row],[detatched_value]]</f>
        <v>0</v>
      </c>
      <c r="BO12">
        <f>SUM(Granger_Sales[[#This Row],[predicted_land]:[predicted_det]])</f>
        <v>208838.17053884242</v>
      </c>
      <c r="BP12">
        <f>Granger_Sales[[#This Row],[predicted_total]]/Granger_Sales[[#This Row],[sale_price]]</f>
        <v>0.95359895223215718</v>
      </c>
      <c r="BQ12">
        <f>VLOOKUP(Granger_Sales[[#This Row],[quality]],Lookups!$A$25:$C$35,3,FALSE)</f>
        <v>0.99049976351917957</v>
      </c>
      <c r="BR12">
        <f>VLOOKUP(Granger_Sales[[#This Row],[condition]],Lookups!$A$38:$C$45,3,FALSE)</f>
        <v>0.99135053432734199</v>
      </c>
      <c r="BS12">
        <f>VLOOKUP(Granger_Sales[[#This Row],[decade]],Lookups!$G$28:$I$42,3,FALSE)</f>
        <v>0.99951026660104636</v>
      </c>
      <c r="BT12">
        <f>VLOOKUP(Granger_Sales[[#This Row],[living_area_range]],Lookups!$A$48:$C$57,3,FALSE)</f>
        <v>0.97960506760539345</v>
      </c>
      <c r="BU12">
        <f>Granger_Sales[[#This Row],[predicted_land]]</f>
        <v>26250.201278842385</v>
      </c>
      <c r="BV12">
        <f>Granger_Sales[[#This Row],[predicted_res]]*AVERAGE(Granger_Sales[[#This Row],[qual_adj]:[living_range_adj]])</f>
        <v>180806.1677663007</v>
      </c>
      <c r="BW12">
        <f>Granger_Sales[[#This Row],[predicted_det]]</f>
        <v>0</v>
      </c>
      <c r="BX12">
        <f>SUM(Granger_Sales[[#This Row],[final_land]:[final_det]])</f>
        <v>207056.36904514307</v>
      </c>
      <c r="BY12">
        <f>Granger_Sales[[#This Row],[final_total]]/Granger_Sales[[#This Row],[sale_price]]</f>
        <v>0.94546287235225146</v>
      </c>
      <c r="BZ12" s="7">
        <f>(Granger_Sales[[#This Row],[final_total]]-Granger_Sales[[#This Row],[sale_price]])^2</f>
        <v>142650320.38581657</v>
      </c>
      <c r="CA12" s="7">
        <f>(Granger_Sales[[#This Row],[final_total]]-AVERAGE(Granger_Sales[sale_price]))^2</f>
        <v>2973559038.93399</v>
      </c>
      <c r="CB12" s="7">
        <f>Granger_Sales[[#This Row],[SSE]]+Granger_Sales[[#This Row],[SSR]]</f>
        <v>3116209359.3198066</v>
      </c>
      <c r="CC12" s="12">
        <f>ABS(Granger_Sales[[#This Row],[final_ratio]]-MEDIAN(Granger_Sales[final_ratio]))</f>
        <v>4.5075911181509665E-2</v>
      </c>
    </row>
    <row r="13" spans="1:81" x14ac:dyDescent="0.25">
      <c r="A13">
        <v>21102114525</v>
      </c>
      <c r="B13">
        <v>0.17</v>
      </c>
      <c r="C13">
        <v>7500</v>
      </c>
      <c r="D13">
        <v>0.17</v>
      </c>
      <c r="E13" t="s">
        <v>54</v>
      </c>
      <c r="F13" t="s">
        <v>54</v>
      </c>
      <c r="G13">
        <v>3</v>
      </c>
      <c r="H13" t="s">
        <v>55</v>
      </c>
      <c r="I13">
        <v>239500</v>
      </c>
      <c r="J13">
        <v>25300</v>
      </c>
      <c r="K13">
        <v>0.17</v>
      </c>
      <c r="L13">
        <v>0</v>
      </c>
      <c r="M13">
        <v>0</v>
      </c>
      <c r="N13">
        <v>0</v>
      </c>
      <c r="O13">
        <v>47108.068500000001</v>
      </c>
      <c r="P13">
        <v>122297.704</v>
      </c>
      <c r="Q13">
        <f>(LN(Granger_Sales[[#This Row],[parcel_acres]])*Granger_Sales[[#This Row],[coeff]])+Granger_Sales[[#This Row],[const]]</f>
        <v>38824.239711229544</v>
      </c>
      <c r="R13" t="s">
        <v>56</v>
      </c>
      <c r="S13">
        <v>1</v>
      </c>
      <c r="T13" t="s">
        <v>64</v>
      </c>
      <c r="U13" t="s">
        <v>58</v>
      </c>
      <c r="V13">
        <v>0</v>
      </c>
      <c r="W13">
        <v>0</v>
      </c>
      <c r="X13">
        <v>3</v>
      </c>
      <c r="Y13">
        <v>3</v>
      </c>
      <c r="Z13">
        <v>0</v>
      </c>
      <c r="AA13">
        <v>2000</v>
      </c>
      <c r="AB13">
        <v>1516</v>
      </c>
      <c r="AC13">
        <v>1516</v>
      </c>
      <c r="AD13">
        <v>0</v>
      </c>
      <c r="AE13">
        <v>0</v>
      </c>
      <c r="AF13">
        <v>0</v>
      </c>
      <c r="AG13">
        <v>380</v>
      </c>
      <c r="AH13">
        <v>0</v>
      </c>
      <c r="AI13">
        <v>0</v>
      </c>
      <c r="AJ13">
        <v>0</v>
      </c>
      <c r="AK13">
        <v>8</v>
      </c>
      <c r="AL13">
        <v>0</v>
      </c>
      <c r="AM13">
        <v>0</v>
      </c>
      <c r="AN13" t="s">
        <v>59</v>
      </c>
      <c r="AO13">
        <v>1</v>
      </c>
      <c r="AP13" t="s">
        <v>68</v>
      </c>
      <c r="AQ13" t="s">
        <v>65</v>
      </c>
      <c r="AR13">
        <v>0</v>
      </c>
      <c r="AS13">
        <v>3</v>
      </c>
      <c r="AT13">
        <v>0</v>
      </c>
      <c r="AU13">
        <v>0</v>
      </c>
      <c r="AV13">
        <v>100</v>
      </c>
      <c r="AW13" s="1">
        <v>44084</v>
      </c>
      <c r="AX13">
        <v>18200</v>
      </c>
      <c r="AY13">
        <v>224683</v>
      </c>
      <c r="AZ13">
        <v>242900</v>
      </c>
      <c r="BA13">
        <v>208080</v>
      </c>
      <c r="BB13">
        <v>843</v>
      </c>
      <c r="BC13">
        <f>Granger_Sales[[#This Row],[land_extract]]*Lookups!$B$3</f>
        <v>23128.795382562545</v>
      </c>
      <c r="BD13">
        <f>Lookups!$B$2</f>
        <v>29703.559000000001</v>
      </c>
      <c r="BE13">
        <f>VLOOKUP(Granger_Sales[[#This Row],[quality]],Lookups!$H$2:$J$12,3,FALSE)</f>
        <v>36568</v>
      </c>
      <c r="BF13">
        <f>VLOOKUP(Granger_Sales[[#This Row],[condition]],Lookups!$H$17:$J$24,3,FALSE)</f>
        <v>101774</v>
      </c>
      <c r="BG13">
        <f>Granger_Sales[[#This Row],[Age]]*Lookups!$B$16</f>
        <v>-621.99329999999998</v>
      </c>
      <c r="BH13">
        <f>Granger_Sales[[#This Row],[living_area]]*Lookups!$B$17</f>
        <v>101985.730044</v>
      </c>
      <c r="BI13">
        <f>Granger_Sales[[#This Row],[garage_sqft]]*Lookups!$B$18</f>
        <v>18410.08268</v>
      </c>
      <c r="BJ13">
        <f>Granger_Sales[[#This Row],[Patio]]*Lookups!$B$19</f>
        <v>0</v>
      </c>
      <c r="BK13">
        <f>Granger_Sales[[#This Row],[days_prior_to_assessment]]*Lookups!$B$20</f>
        <v>-56617.237229999999</v>
      </c>
      <c r="BL13">
        <f>Granger_Sales[[#This Row],[land_value_1]]</f>
        <v>23128.795382562545</v>
      </c>
      <c r="BM13">
        <f>SUM(Granger_Sales[[#This Row],[Intercept]:[Days_prior_adj]])</f>
        <v>231202.141194</v>
      </c>
      <c r="BN13">
        <f>Granger_Sales[[#This Row],[detatched_value]]</f>
        <v>0</v>
      </c>
      <c r="BO13">
        <f>SUM(Granger_Sales[[#This Row],[predicted_land]:[predicted_det]])</f>
        <v>254330.93657656253</v>
      </c>
      <c r="BP13">
        <f>Granger_Sales[[#This Row],[predicted_total]]/Granger_Sales[[#This Row],[sale_price]]</f>
        <v>1.2222747817020498</v>
      </c>
      <c r="BQ13">
        <f>VLOOKUP(Granger_Sales[[#This Row],[quality]],Lookups!$A$25:$C$35,3,FALSE)</f>
        <v>0.99049976351917957</v>
      </c>
      <c r="BR13">
        <f>VLOOKUP(Granger_Sales[[#This Row],[condition]],Lookups!$A$38:$C$45,3,FALSE)</f>
        <v>0.99135053432734199</v>
      </c>
      <c r="BS13">
        <f>VLOOKUP(Granger_Sales[[#This Row],[decade]],Lookups!$G$28:$I$42,3,FALSE)</f>
        <v>0.99951026660104636</v>
      </c>
      <c r="BT13">
        <f>VLOOKUP(Granger_Sales[[#This Row],[living_area_range]],Lookups!$A$48:$C$57,3,FALSE)</f>
        <v>0.97860968051050168</v>
      </c>
      <c r="BU13">
        <f>Granger_Sales[[#This Row],[predicted_land]]</f>
        <v>23128.795382562545</v>
      </c>
      <c r="BV13">
        <f>Granger_Sales[[#This Row],[predicted_res]]*AVERAGE(Granger_Sales[[#This Row],[qual_adj]:[living_range_adj]])</f>
        <v>228888.39992470859</v>
      </c>
      <c r="BW13">
        <f>Granger_Sales[[#This Row],[predicted_det]]</f>
        <v>0</v>
      </c>
      <c r="BX13">
        <f>SUM(Granger_Sales[[#This Row],[final_land]:[final_det]])</f>
        <v>252017.19530727115</v>
      </c>
      <c r="BY13">
        <f>Granger_Sales[[#This Row],[final_total]]/Granger_Sales[[#This Row],[sale_price]]</f>
        <v>1.2111553023225257</v>
      </c>
      <c r="BZ13" s="7">
        <f>(Granger_Sales[[#This Row],[final_total]]-Granger_Sales[[#This Row],[sale_price]])^2</f>
        <v>1930477131.4692898</v>
      </c>
      <c r="CA13" s="7">
        <f>(Granger_Sales[[#This Row],[final_total]]-AVERAGE(Granger_Sales[sale_price]))^2</f>
        <v>91575778.920937061</v>
      </c>
      <c r="CB13" s="7">
        <f>Granger_Sales[[#This Row],[SSE]]+Granger_Sales[[#This Row],[SSR]]</f>
        <v>2022052910.3902268</v>
      </c>
      <c r="CC13" s="12">
        <f>ABS(Granger_Sales[[#This Row],[final_ratio]]-MEDIAN(Granger_Sales[final_ratio]))</f>
        <v>0.22061651878876454</v>
      </c>
    </row>
    <row r="14" spans="1:81" x14ac:dyDescent="0.25">
      <c r="A14">
        <v>21102231417</v>
      </c>
      <c r="B14">
        <v>0.18</v>
      </c>
      <c r="C14">
        <v>7968</v>
      </c>
      <c r="D14">
        <v>0</v>
      </c>
      <c r="E14" t="s">
        <v>54</v>
      </c>
      <c r="F14" t="s">
        <v>54</v>
      </c>
      <c r="G14">
        <v>3</v>
      </c>
      <c r="H14" t="s">
        <v>55</v>
      </c>
      <c r="I14">
        <v>357600</v>
      </c>
      <c r="J14">
        <v>27400</v>
      </c>
      <c r="K14">
        <v>0.18</v>
      </c>
      <c r="L14">
        <v>0</v>
      </c>
      <c r="M14">
        <v>0</v>
      </c>
      <c r="N14">
        <v>0</v>
      </c>
      <c r="O14">
        <v>47108.068500000001</v>
      </c>
      <c r="P14">
        <v>122297.704</v>
      </c>
      <c r="Q14">
        <f>(LN(Granger_Sales[[#This Row],[parcel_acres]])*Granger_Sales[[#This Row],[coeff]])+Granger_Sales[[#This Row],[const]]</f>
        <v>41516.862185753198</v>
      </c>
      <c r="R14" t="s">
        <v>59</v>
      </c>
      <c r="S14">
        <v>1</v>
      </c>
      <c r="T14" t="s">
        <v>57</v>
      </c>
      <c r="U14" t="s">
        <v>58</v>
      </c>
      <c r="V14">
        <v>0</v>
      </c>
      <c r="W14">
        <v>0</v>
      </c>
      <c r="X14">
        <v>3</v>
      </c>
      <c r="Y14">
        <v>3</v>
      </c>
      <c r="Z14">
        <v>0</v>
      </c>
      <c r="AA14">
        <v>2000</v>
      </c>
      <c r="AB14">
        <v>1902</v>
      </c>
      <c r="AC14">
        <v>1902</v>
      </c>
      <c r="AD14">
        <v>0</v>
      </c>
      <c r="AE14">
        <v>0</v>
      </c>
      <c r="AF14">
        <v>0</v>
      </c>
      <c r="AG14">
        <v>480</v>
      </c>
      <c r="AH14">
        <v>0</v>
      </c>
      <c r="AI14">
        <v>0</v>
      </c>
      <c r="AJ14">
        <v>0</v>
      </c>
      <c r="AK14">
        <v>8</v>
      </c>
      <c r="AL14">
        <v>0</v>
      </c>
      <c r="AM14">
        <v>0</v>
      </c>
      <c r="AN14" t="s">
        <v>59</v>
      </c>
      <c r="AO14">
        <v>1</v>
      </c>
      <c r="AP14" t="s">
        <v>63</v>
      </c>
      <c r="AQ14" t="s">
        <v>65</v>
      </c>
      <c r="AR14">
        <v>1</v>
      </c>
      <c r="AS14">
        <v>3</v>
      </c>
      <c r="AT14">
        <v>0</v>
      </c>
      <c r="AU14">
        <v>0</v>
      </c>
      <c r="AV14">
        <v>100</v>
      </c>
      <c r="AW14" s="1">
        <v>43903</v>
      </c>
      <c r="AX14">
        <v>20900</v>
      </c>
      <c r="AY14">
        <v>310469</v>
      </c>
      <c r="AZ14">
        <v>331400</v>
      </c>
      <c r="BA14">
        <v>329900</v>
      </c>
      <c r="BB14">
        <v>1024</v>
      </c>
      <c r="BC14">
        <f>Granger_Sales[[#This Row],[land_extract]]*Lookups!$B$3</f>
        <v>24732.8735234085</v>
      </c>
      <c r="BD14">
        <f>Lookups!$B$2</f>
        <v>29703.559000000001</v>
      </c>
      <c r="BE14">
        <f>VLOOKUP(Granger_Sales[[#This Row],[quality]],Lookups!$H$2:$J$12,3,FALSE)</f>
        <v>56414</v>
      </c>
      <c r="BF14">
        <f>VLOOKUP(Granger_Sales[[#This Row],[condition]],Lookups!$H$17:$J$24,3,FALSE)</f>
        <v>101774</v>
      </c>
      <c r="BG14">
        <f>Granger_Sales[[#This Row],[Age]]*Lookups!$B$16</f>
        <v>-621.99329999999998</v>
      </c>
      <c r="BH14">
        <f>Granger_Sales[[#This Row],[living_area]]*Lookups!$B$17</f>
        <v>127953.07291799999</v>
      </c>
      <c r="BI14">
        <f>Granger_Sales[[#This Row],[garage_sqft]]*Lookups!$B$18</f>
        <v>23254.841280000001</v>
      </c>
      <c r="BJ14">
        <f>Granger_Sales[[#This Row],[Patio]]*Lookups!$B$19</f>
        <v>0</v>
      </c>
      <c r="BK14">
        <f>Granger_Sales[[#This Row],[days_prior_to_assessment]]*Lookups!$B$20</f>
        <v>-68773.488639999996</v>
      </c>
      <c r="BL14">
        <f>Granger_Sales[[#This Row],[land_value_1]]</f>
        <v>24732.8735234085</v>
      </c>
      <c r="BM14">
        <f>SUM(Granger_Sales[[#This Row],[Intercept]:[Days_prior_adj]])</f>
        <v>269703.99125799997</v>
      </c>
      <c r="BN14">
        <f>Granger_Sales[[#This Row],[detatched_value]]</f>
        <v>0</v>
      </c>
      <c r="BO14">
        <f>SUM(Granger_Sales[[#This Row],[predicted_land]:[predicted_det]])</f>
        <v>294436.86478140845</v>
      </c>
      <c r="BP14">
        <f>Granger_Sales[[#This Row],[predicted_total]]/Granger_Sales[[#This Row],[sale_price]]</f>
        <v>0.89250337914946487</v>
      </c>
      <c r="BQ14">
        <f>VLOOKUP(Granger_Sales[[#This Row],[quality]],Lookups!$A$25:$C$35,3,FALSE)</f>
        <v>0.98791809110152173</v>
      </c>
      <c r="BR14">
        <f>VLOOKUP(Granger_Sales[[#This Row],[condition]],Lookups!$A$38:$C$45,3,FALSE)</f>
        <v>0.99135053432734199</v>
      </c>
      <c r="BS14">
        <f>VLOOKUP(Granger_Sales[[#This Row],[decade]],Lookups!$G$28:$I$42,3,FALSE)</f>
        <v>0.99951026660104636</v>
      </c>
      <c r="BT14">
        <f>VLOOKUP(Granger_Sales[[#This Row],[living_area_range]],Lookups!$A$48:$C$57,3,FALSE)</f>
        <v>0.97860968051050168</v>
      </c>
      <c r="BU14">
        <f>Granger_Sales[[#This Row],[predicted_land]]</f>
        <v>24732.8735234085</v>
      </c>
      <c r="BV14">
        <f>Granger_Sales[[#This Row],[predicted_res]]*AVERAGE(Granger_Sales[[#This Row],[qual_adj]:[living_range_adj]])</f>
        <v>266830.87324323703</v>
      </c>
      <c r="BW14">
        <f>Granger_Sales[[#This Row],[predicted_det]]</f>
        <v>0</v>
      </c>
      <c r="BX14">
        <f>SUM(Granger_Sales[[#This Row],[final_land]:[final_det]])</f>
        <v>291563.74676664552</v>
      </c>
      <c r="BY14">
        <f>Granger_Sales[[#This Row],[final_total]]/Granger_Sales[[#This Row],[sale_price]]</f>
        <v>0.88379432181462725</v>
      </c>
      <c r="BZ14" s="7">
        <f>(Granger_Sales[[#This Row],[final_total]]-Granger_Sales[[#This Row],[sale_price]])^2</f>
        <v>1469668311.9718819</v>
      </c>
      <c r="CA14" s="7">
        <f>(Granger_Sales[[#This Row],[final_total]]-AVERAGE(Granger_Sales[sale_price]))^2</f>
        <v>898622208.71075046</v>
      </c>
      <c r="CB14" s="7">
        <f>Granger_Sales[[#This Row],[SSE]]+Granger_Sales[[#This Row],[SSR]]</f>
        <v>2368290520.6826324</v>
      </c>
      <c r="CC14" s="12">
        <f>ABS(Granger_Sales[[#This Row],[final_ratio]]-MEDIAN(Granger_Sales[final_ratio]))</f>
        <v>0.10674446171913388</v>
      </c>
    </row>
    <row r="15" spans="1:81" x14ac:dyDescent="0.25">
      <c r="A15">
        <v>21101641566</v>
      </c>
      <c r="B15">
        <v>0.14000000000000001</v>
      </c>
      <c r="C15">
        <v>6100</v>
      </c>
      <c r="D15">
        <v>0</v>
      </c>
      <c r="E15" t="s">
        <v>54</v>
      </c>
      <c r="F15" t="s">
        <v>54</v>
      </c>
      <c r="G15">
        <v>3</v>
      </c>
      <c r="H15" t="s">
        <v>55</v>
      </c>
      <c r="I15">
        <v>230800</v>
      </c>
      <c r="J15">
        <v>25900</v>
      </c>
      <c r="K15">
        <v>0.14000000000000001</v>
      </c>
      <c r="L15">
        <v>0</v>
      </c>
      <c r="M15">
        <v>0</v>
      </c>
      <c r="N15">
        <v>0</v>
      </c>
      <c r="O15">
        <v>47108.068500000001</v>
      </c>
      <c r="P15">
        <v>122297.704</v>
      </c>
      <c r="Q15">
        <f>(LN(Granger_Sales[[#This Row],[parcel_acres]])*Granger_Sales[[#This Row],[coeff]])+Granger_Sales[[#This Row],[const]]</f>
        <v>29677.924883257932</v>
      </c>
      <c r="R15" t="s">
        <v>62</v>
      </c>
      <c r="S15">
        <v>1</v>
      </c>
      <c r="T15" t="s">
        <v>64</v>
      </c>
      <c r="U15" t="s">
        <v>58</v>
      </c>
      <c r="V15">
        <v>0</v>
      </c>
      <c r="W15">
        <v>0</v>
      </c>
      <c r="X15">
        <v>3</v>
      </c>
      <c r="Y15">
        <v>3</v>
      </c>
      <c r="Z15">
        <v>0</v>
      </c>
      <c r="AA15">
        <v>1500</v>
      </c>
      <c r="AB15">
        <v>1320</v>
      </c>
      <c r="AC15">
        <v>1320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8</v>
      </c>
      <c r="AL15">
        <v>0</v>
      </c>
      <c r="AM15">
        <v>0</v>
      </c>
      <c r="AN15" t="s">
        <v>59</v>
      </c>
      <c r="AO15">
        <v>1</v>
      </c>
      <c r="AP15" t="s">
        <v>63</v>
      </c>
      <c r="AQ15" t="s">
        <v>65</v>
      </c>
      <c r="AR15">
        <v>1</v>
      </c>
      <c r="AS15">
        <v>3</v>
      </c>
      <c r="AT15">
        <v>0</v>
      </c>
      <c r="AU15">
        <v>0</v>
      </c>
      <c r="AV15">
        <v>100</v>
      </c>
      <c r="AW15" s="1">
        <v>43908</v>
      </c>
      <c r="AX15">
        <v>19700</v>
      </c>
      <c r="AY15">
        <v>195777</v>
      </c>
      <c r="AZ15">
        <v>215500</v>
      </c>
      <c r="BA15">
        <v>227100</v>
      </c>
      <c r="BB15">
        <v>1019</v>
      </c>
      <c r="BC15">
        <f>Granger_Sales[[#This Row],[land_extract]]*Lookups!$B$3</f>
        <v>17680.053933043157</v>
      </c>
      <c r="BD15">
        <f>Lookups!$B$2</f>
        <v>29703.559000000001</v>
      </c>
      <c r="BE15">
        <f>VLOOKUP(Granger_Sales[[#This Row],[quality]],Lookups!$H$2:$J$12,3,FALSE)</f>
        <v>36568</v>
      </c>
      <c r="BF15">
        <f>VLOOKUP(Granger_Sales[[#This Row],[condition]],Lookups!$H$17:$J$24,3,FALSE)</f>
        <v>101774</v>
      </c>
      <c r="BG15">
        <f>Granger_Sales[[#This Row],[Age]]*Lookups!$B$16</f>
        <v>-621.99329999999998</v>
      </c>
      <c r="BH15">
        <f>Granger_Sales[[#This Row],[living_area]]*Lookups!$B$17</f>
        <v>88800.239879999994</v>
      </c>
      <c r="BI15">
        <f>Granger_Sales[[#This Row],[garage_sqft]]*Lookups!$B$18</f>
        <v>0</v>
      </c>
      <c r="BJ15">
        <f>Granger_Sales[[#This Row],[Patio]]*Lookups!$B$19</f>
        <v>0</v>
      </c>
      <c r="BK15">
        <f>Granger_Sales[[#This Row],[days_prior_to_assessment]]*Lookups!$B$20</f>
        <v>-68437.680589999989</v>
      </c>
      <c r="BL15">
        <f>Granger_Sales[[#This Row],[land_value_1]]</f>
        <v>17680.053933043157</v>
      </c>
      <c r="BM15">
        <f>SUM(Granger_Sales[[#This Row],[Intercept]:[Days_prior_adj]])</f>
        <v>187786.12498999998</v>
      </c>
      <c r="BN15">
        <f>Granger_Sales[[#This Row],[detatched_value]]</f>
        <v>0</v>
      </c>
      <c r="BO15">
        <f>SUM(Granger_Sales[[#This Row],[predicted_land]:[predicted_det]])</f>
        <v>205466.17892304313</v>
      </c>
      <c r="BP15">
        <f>Granger_Sales[[#This Row],[predicted_total]]/Granger_Sales[[#This Row],[sale_price]]</f>
        <v>0.9047387887408328</v>
      </c>
      <c r="BQ15">
        <f>VLOOKUP(Granger_Sales[[#This Row],[quality]],Lookups!$A$25:$C$35,3,FALSE)</f>
        <v>0.99049976351917957</v>
      </c>
      <c r="BR15">
        <f>VLOOKUP(Granger_Sales[[#This Row],[condition]],Lookups!$A$38:$C$45,3,FALSE)</f>
        <v>0.99135053432734199</v>
      </c>
      <c r="BS15">
        <f>VLOOKUP(Granger_Sales[[#This Row],[decade]],Lookups!$G$28:$I$42,3,FALSE)</f>
        <v>0.99951026660104636</v>
      </c>
      <c r="BT15">
        <f>VLOOKUP(Granger_Sales[[#This Row],[living_area_range]],Lookups!$A$48:$C$57,3,FALSE)</f>
        <v>0.97960506760539345</v>
      </c>
      <c r="BU15">
        <f>Granger_Sales[[#This Row],[predicted_land]]</f>
        <v>17680.053933043157</v>
      </c>
      <c r="BV15">
        <f>Granger_Sales[[#This Row],[predicted_res]]*AVERAGE(Granger_Sales[[#This Row],[qual_adj]:[living_range_adj]])</f>
        <v>185953.59681544793</v>
      </c>
      <c r="BW15">
        <f>Granger_Sales[[#This Row],[predicted_det]]</f>
        <v>0</v>
      </c>
      <c r="BX15">
        <f>SUM(Granger_Sales[[#This Row],[final_land]:[final_det]])</f>
        <v>203633.65074849108</v>
      </c>
      <c r="BY15">
        <f>Granger_Sales[[#This Row],[final_total]]/Granger_Sales[[#This Row],[sale_price]]</f>
        <v>0.89666953213778544</v>
      </c>
      <c r="BZ15" s="7">
        <f>(Granger_Sales[[#This Row],[final_total]]-Granger_Sales[[#This Row],[sale_price]])^2</f>
        <v>550669547.19379306</v>
      </c>
      <c r="CA15" s="7">
        <f>(Granger_Sales[[#This Row],[final_total]]-AVERAGE(Granger_Sales[sale_price]))^2</f>
        <v>3358558090.7875166</v>
      </c>
      <c r="CB15" s="7">
        <f>Granger_Sales[[#This Row],[SSE]]+Granger_Sales[[#This Row],[SSR]]</f>
        <v>3909227637.9813099</v>
      </c>
      <c r="CC15" s="12">
        <f>ABS(Granger_Sales[[#This Row],[final_ratio]]-MEDIAN(Granger_Sales[final_ratio]))</f>
        <v>9.3869251395975684E-2</v>
      </c>
    </row>
    <row r="16" spans="1:81" x14ac:dyDescent="0.25">
      <c r="A16">
        <v>21101613408</v>
      </c>
      <c r="B16">
        <v>0.56999999999999995</v>
      </c>
      <c r="C16">
        <v>0</v>
      </c>
      <c r="D16">
        <v>0</v>
      </c>
      <c r="E16" t="s">
        <v>54</v>
      </c>
      <c r="F16" t="s">
        <v>54</v>
      </c>
      <c r="G16">
        <v>3</v>
      </c>
      <c r="H16" t="s">
        <v>55</v>
      </c>
      <c r="I16">
        <v>314800</v>
      </c>
      <c r="J16">
        <v>32000</v>
      </c>
      <c r="K16">
        <v>0.56999999999999995</v>
      </c>
      <c r="L16">
        <v>0</v>
      </c>
      <c r="M16">
        <v>0</v>
      </c>
      <c r="N16">
        <v>0</v>
      </c>
      <c r="O16">
        <v>47108.068500000001</v>
      </c>
      <c r="P16">
        <v>122297.704</v>
      </c>
      <c r="Q16">
        <f>(LN(Granger_Sales[[#This Row],[parcel_acres]])*Granger_Sales[[#This Row],[coeff]])+Granger_Sales[[#This Row],[const]]</f>
        <v>95817.367498477077</v>
      </c>
      <c r="R16" t="s">
        <v>59</v>
      </c>
      <c r="S16">
        <v>1</v>
      </c>
      <c r="T16" t="s">
        <v>57</v>
      </c>
      <c r="U16" t="s">
        <v>58</v>
      </c>
      <c r="V16">
        <v>0</v>
      </c>
      <c r="W16">
        <v>0</v>
      </c>
      <c r="X16">
        <v>3</v>
      </c>
      <c r="Y16">
        <v>3</v>
      </c>
      <c r="Z16">
        <v>0</v>
      </c>
      <c r="AA16">
        <v>2000</v>
      </c>
      <c r="AB16">
        <v>1740</v>
      </c>
      <c r="AC16">
        <v>1740</v>
      </c>
      <c r="AD16">
        <v>0</v>
      </c>
      <c r="AE16">
        <v>0</v>
      </c>
      <c r="AF16">
        <v>0</v>
      </c>
      <c r="AG16">
        <v>540</v>
      </c>
      <c r="AH16">
        <v>0</v>
      </c>
      <c r="AI16">
        <v>0</v>
      </c>
      <c r="AJ16">
        <v>0</v>
      </c>
      <c r="AK16">
        <v>9</v>
      </c>
      <c r="AL16">
        <v>0</v>
      </c>
      <c r="AM16">
        <v>0</v>
      </c>
      <c r="AN16" t="s">
        <v>59</v>
      </c>
      <c r="AO16">
        <v>1</v>
      </c>
      <c r="AP16" t="s">
        <v>63</v>
      </c>
      <c r="AQ16" t="s">
        <v>65</v>
      </c>
      <c r="AR16">
        <v>1</v>
      </c>
      <c r="AS16">
        <v>3</v>
      </c>
      <c r="AT16">
        <v>0</v>
      </c>
      <c r="AU16">
        <v>0</v>
      </c>
      <c r="AV16">
        <v>100</v>
      </c>
      <c r="AW16" s="1">
        <v>43916</v>
      </c>
      <c r="AX16">
        <v>23800</v>
      </c>
      <c r="AY16">
        <v>295752</v>
      </c>
      <c r="AZ16">
        <v>319600</v>
      </c>
      <c r="BA16">
        <v>300000</v>
      </c>
      <c r="BB16">
        <v>1011</v>
      </c>
      <c r="BC16">
        <f>Granger_Sales[[#This Row],[land_extract]]*Lookups!$B$3</f>
        <v>57081.35699376175</v>
      </c>
      <c r="BD16">
        <f>Lookups!$B$2</f>
        <v>29703.559000000001</v>
      </c>
      <c r="BE16">
        <f>VLOOKUP(Granger_Sales[[#This Row],[quality]],Lookups!$H$2:$J$12,3,FALSE)</f>
        <v>56414</v>
      </c>
      <c r="BF16">
        <f>VLOOKUP(Granger_Sales[[#This Row],[condition]],Lookups!$H$17:$J$24,3,FALSE)</f>
        <v>101774</v>
      </c>
      <c r="BG16">
        <f>Granger_Sales[[#This Row],[Age]]*Lookups!$B$16</f>
        <v>-621.99329999999998</v>
      </c>
      <c r="BH16">
        <f>Granger_Sales[[#This Row],[living_area]]*Lookups!$B$17</f>
        <v>117054.86166</v>
      </c>
      <c r="BI16">
        <f>Granger_Sales[[#This Row],[garage_sqft]]*Lookups!$B$18</f>
        <v>26161.69644</v>
      </c>
      <c r="BJ16">
        <f>Granger_Sales[[#This Row],[Patio]]*Lookups!$B$19</f>
        <v>0</v>
      </c>
      <c r="BK16">
        <f>Granger_Sales[[#This Row],[days_prior_to_assessment]]*Lookups!$B$20</f>
        <v>-67900.387709999995</v>
      </c>
      <c r="BL16">
        <f>Granger_Sales[[#This Row],[land_value_1]]</f>
        <v>57081.35699376175</v>
      </c>
      <c r="BM16">
        <f>SUM(Granger_Sales[[#This Row],[Intercept]:[Days_prior_adj]])</f>
        <v>262585.73608999996</v>
      </c>
      <c r="BN16">
        <f>Granger_Sales[[#This Row],[detatched_value]]</f>
        <v>0</v>
      </c>
      <c r="BO16">
        <f>SUM(Granger_Sales[[#This Row],[predicted_land]:[predicted_det]])</f>
        <v>319667.09308376169</v>
      </c>
      <c r="BP16">
        <f>Granger_Sales[[#This Row],[predicted_total]]/Granger_Sales[[#This Row],[sale_price]]</f>
        <v>1.0655569769458724</v>
      </c>
      <c r="BQ16">
        <f>VLOOKUP(Granger_Sales[[#This Row],[quality]],Lookups!$A$25:$C$35,3,FALSE)</f>
        <v>0.98791809110152173</v>
      </c>
      <c r="BR16">
        <f>VLOOKUP(Granger_Sales[[#This Row],[condition]],Lookups!$A$38:$C$45,3,FALSE)</f>
        <v>0.99135053432734199</v>
      </c>
      <c r="BS16">
        <f>VLOOKUP(Granger_Sales[[#This Row],[decade]],Lookups!$G$28:$I$42,3,FALSE)</f>
        <v>0.99951026660104636</v>
      </c>
      <c r="BT16">
        <f>VLOOKUP(Granger_Sales[[#This Row],[living_area_range]],Lookups!$A$48:$C$57,3,FALSE)</f>
        <v>0.97860968051050168</v>
      </c>
      <c r="BU16">
        <f>Granger_Sales[[#This Row],[predicted_land]]</f>
        <v>57081.35699376175</v>
      </c>
      <c r="BV16">
        <f>Granger_Sales[[#This Row],[predicted_res]]*AVERAGE(Granger_Sales[[#This Row],[qual_adj]:[living_range_adj]])</f>
        <v>259788.44782866957</v>
      </c>
      <c r="BW16">
        <f>Granger_Sales[[#This Row],[predicted_det]]</f>
        <v>0</v>
      </c>
      <c r="BX16">
        <f>SUM(Granger_Sales[[#This Row],[final_land]:[final_det]])</f>
        <v>316869.8048224313</v>
      </c>
      <c r="BY16">
        <f>Granger_Sales[[#This Row],[final_total]]/Granger_Sales[[#This Row],[sale_price]]</f>
        <v>1.0562326827414377</v>
      </c>
      <c r="BZ16" s="7">
        <f>(Granger_Sales[[#This Row],[final_total]]-Granger_Sales[[#This Row],[sale_price]])^2</f>
        <v>284590314.74692619</v>
      </c>
      <c r="CA16" s="7">
        <f>(Granger_Sales[[#This Row],[final_total]]-AVERAGE(Granger_Sales[sale_price]))^2</f>
        <v>3056219605.6918468</v>
      </c>
      <c r="CB16" s="7">
        <f>Granger_Sales[[#This Row],[SSE]]+Granger_Sales[[#This Row],[SSR]]</f>
        <v>3340809920.4387732</v>
      </c>
      <c r="CC16" s="12">
        <f>ABS(Granger_Sales[[#This Row],[final_ratio]]-MEDIAN(Granger_Sales[final_ratio]))</f>
        <v>6.5693899207676543E-2</v>
      </c>
    </row>
    <row r="17" spans="1:81" x14ac:dyDescent="0.25">
      <c r="A17">
        <v>21101613407</v>
      </c>
      <c r="B17">
        <v>0.56999999999999995</v>
      </c>
      <c r="C17">
        <v>0</v>
      </c>
      <c r="D17">
        <v>0</v>
      </c>
      <c r="E17" t="s">
        <v>54</v>
      </c>
      <c r="F17" t="s">
        <v>54</v>
      </c>
      <c r="G17">
        <v>3</v>
      </c>
      <c r="H17" t="s">
        <v>55</v>
      </c>
      <c r="I17">
        <v>296800</v>
      </c>
      <c r="J17">
        <v>32000</v>
      </c>
      <c r="K17">
        <v>0.56999999999999995</v>
      </c>
      <c r="L17">
        <v>0</v>
      </c>
      <c r="M17">
        <v>0</v>
      </c>
      <c r="N17">
        <v>0</v>
      </c>
      <c r="O17">
        <v>47108.068500000001</v>
      </c>
      <c r="P17">
        <v>122297.704</v>
      </c>
      <c r="Q17">
        <f>(LN(Granger_Sales[[#This Row],[parcel_acres]])*Granger_Sales[[#This Row],[coeff]])+Granger_Sales[[#This Row],[const]]</f>
        <v>95817.367498477077</v>
      </c>
      <c r="R17" t="s">
        <v>59</v>
      </c>
      <c r="S17">
        <v>1</v>
      </c>
      <c r="T17" t="s">
        <v>64</v>
      </c>
      <c r="U17" t="s">
        <v>58</v>
      </c>
      <c r="V17">
        <v>0</v>
      </c>
      <c r="W17">
        <v>0</v>
      </c>
      <c r="X17">
        <v>3</v>
      </c>
      <c r="Y17">
        <v>3</v>
      </c>
      <c r="Z17">
        <v>0</v>
      </c>
      <c r="AA17">
        <v>2000</v>
      </c>
      <c r="AB17">
        <v>1822</v>
      </c>
      <c r="AC17">
        <v>1822</v>
      </c>
      <c r="AD17">
        <v>0</v>
      </c>
      <c r="AE17">
        <v>0</v>
      </c>
      <c r="AF17">
        <v>0</v>
      </c>
      <c r="AG17">
        <v>540</v>
      </c>
      <c r="AH17">
        <v>0</v>
      </c>
      <c r="AI17">
        <v>0</v>
      </c>
      <c r="AJ17">
        <v>0</v>
      </c>
      <c r="AK17">
        <v>9</v>
      </c>
      <c r="AL17">
        <v>0</v>
      </c>
      <c r="AM17">
        <v>0</v>
      </c>
      <c r="AN17" t="s">
        <v>59</v>
      </c>
      <c r="AO17">
        <v>1</v>
      </c>
      <c r="AP17" t="s">
        <v>63</v>
      </c>
      <c r="AQ17" t="s">
        <v>65</v>
      </c>
      <c r="AR17">
        <v>1</v>
      </c>
      <c r="AS17">
        <v>3</v>
      </c>
      <c r="AT17">
        <v>0</v>
      </c>
      <c r="AU17">
        <v>0</v>
      </c>
      <c r="AV17">
        <v>100</v>
      </c>
      <c r="AW17" s="1">
        <v>43920</v>
      </c>
      <c r="AX17">
        <v>23800</v>
      </c>
      <c r="AY17">
        <v>275275</v>
      </c>
      <c r="AZ17">
        <v>299100</v>
      </c>
      <c r="BA17">
        <v>312000</v>
      </c>
      <c r="BB17">
        <v>1007</v>
      </c>
      <c r="BC17">
        <f>Granger_Sales[[#This Row],[land_extract]]*Lookups!$B$3</f>
        <v>57081.35699376175</v>
      </c>
      <c r="BD17">
        <f>Lookups!$B$2</f>
        <v>29703.559000000001</v>
      </c>
      <c r="BE17">
        <f>VLOOKUP(Granger_Sales[[#This Row],[quality]],Lookups!$H$2:$J$12,3,FALSE)</f>
        <v>36568</v>
      </c>
      <c r="BF17">
        <f>VLOOKUP(Granger_Sales[[#This Row],[condition]],Lookups!$H$17:$J$24,3,FALSE)</f>
        <v>101774</v>
      </c>
      <c r="BG17">
        <f>Granger_Sales[[#This Row],[Age]]*Lookups!$B$16</f>
        <v>-621.99329999999998</v>
      </c>
      <c r="BH17">
        <f>Granger_Sales[[#This Row],[living_area]]*Lookups!$B$17</f>
        <v>122571.240198</v>
      </c>
      <c r="BI17">
        <f>Granger_Sales[[#This Row],[garage_sqft]]*Lookups!$B$18</f>
        <v>26161.69644</v>
      </c>
      <c r="BJ17">
        <f>Granger_Sales[[#This Row],[Patio]]*Lookups!$B$19</f>
        <v>0</v>
      </c>
      <c r="BK17">
        <f>Granger_Sales[[#This Row],[days_prior_to_assessment]]*Lookups!$B$20</f>
        <v>-67631.741269999999</v>
      </c>
      <c r="BL17">
        <f>Granger_Sales[[#This Row],[land_value_1]]</f>
        <v>57081.35699376175</v>
      </c>
      <c r="BM17">
        <f>SUM(Granger_Sales[[#This Row],[Intercept]:[Days_prior_adj]])</f>
        <v>248524.76106799999</v>
      </c>
      <c r="BN17">
        <f>Granger_Sales[[#This Row],[detatched_value]]</f>
        <v>0</v>
      </c>
      <c r="BO17">
        <f>SUM(Granger_Sales[[#This Row],[predicted_land]:[predicted_det]])</f>
        <v>305606.11806176172</v>
      </c>
      <c r="BP17">
        <f>Granger_Sales[[#This Row],[predicted_total]]/Granger_Sales[[#This Row],[sale_price]]</f>
        <v>0.9795067886594927</v>
      </c>
      <c r="BQ17">
        <f>VLOOKUP(Granger_Sales[[#This Row],[quality]],Lookups!$A$25:$C$35,3,FALSE)</f>
        <v>0.99049976351917957</v>
      </c>
      <c r="BR17">
        <f>VLOOKUP(Granger_Sales[[#This Row],[condition]],Lookups!$A$38:$C$45,3,FALSE)</f>
        <v>0.99135053432734199</v>
      </c>
      <c r="BS17">
        <f>VLOOKUP(Granger_Sales[[#This Row],[decade]],Lookups!$G$28:$I$42,3,FALSE)</f>
        <v>0.99951026660104636</v>
      </c>
      <c r="BT17">
        <f>VLOOKUP(Granger_Sales[[#This Row],[living_area_range]],Lookups!$A$48:$C$57,3,FALSE)</f>
        <v>0.97860968051050168</v>
      </c>
      <c r="BU17">
        <f>Granger_Sales[[#This Row],[predicted_land]]</f>
        <v>57081.35699376175</v>
      </c>
      <c r="BV17">
        <f>Granger_Sales[[#This Row],[predicted_res]]*AVERAGE(Granger_Sales[[#This Row],[qual_adj]:[living_range_adj]])</f>
        <v>246037.66474114842</v>
      </c>
      <c r="BW17">
        <f>Granger_Sales[[#This Row],[predicted_det]]</f>
        <v>0</v>
      </c>
      <c r="BX17">
        <f>SUM(Granger_Sales[[#This Row],[final_land]:[final_det]])</f>
        <v>303119.02173491014</v>
      </c>
      <c r="BY17">
        <f>Granger_Sales[[#This Row],[final_total]]/Granger_Sales[[#This Row],[sale_price]]</f>
        <v>0.97153532607342996</v>
      </c>
      <c r="BZ17" s="7">
        <f>(Granger_Sales[[#This Row],[final_total]]-Granger_Sales[[#This Row],[sale_price]])^2</f>
        <v>78871774.944998428</v>
      </c>
      <c r="CA17" s="7">
        <f>(Granger_Sales[[#This Row],[final_total]]-AVERAGE(Granger_Sales[sale_price]))^2</f>
        <v>1724932191.230376</v>
      </c>
      <c r="CB17" s="7">
        <f>Granger_Sales[[#This Row],[SSE]]+Granger_Sales[[#This Row],[SSR]]</f>
        <v>1803803966.1753745</v>
      </c>
      <c r="CC17" s="12">
        <f>ABS(Granger_Sales[[#This Row],[final_ratio]]-MEDIAN(Granger_Sales[final_ratio]))</f>
        <v>1.9003457460331163E-2</v>
      </c>
    </row>
    <row r="18" spans="1:81" x14ac:dyDescent="0.25">
      <c r="A18">
        <v>21102141407</v>
      </c>
      <c r="B18">
        <v>0.16</v>
      </c>
      <c r="C18">
        <v>0</v>
      </c>
      <c r="D18">
        <v>0</v>
      </c>
      <c r="E18" t="s">
        <v>54</v>
      </c>
      <c r="F18" t="s">
        <v>54</v>
      </c>
      <c r="G18">
        <v>3</v>
      </c>
      <c r="H18" t="s">
        <v>55</v>
      </c>
      <c r="I18">
        <v>263800</v>
      </c>
      <c r="J18">
        <v>25000</v>
      </c>
      <c r="K18">
        <v>0.16</v>
      </c>
      <c r="L18">
        <v>0</v>
      </c>
      <c r="M18">
        <v>0</v>
      </c>
      <c r="N18">
        <v>0</v>
      </c>
      <c r="O18">
        <v>47108.068500000001</v>
      </c>
      <c r="P18">
        <v>122297.704</v>
      </c>
      <c r="Q18">
        <f>(LN(Granger_Sales[[#This Row],[parcel_acres]])*Granger_Sales[[#This Row],[coeff]])+Granger_Sales[[#This Row],[const]]</f>
        <v>35968.330873914325</v>
      </c>
      <c r="R18" t="s">
        <v>56</v>
      </c>
      <c r="S18">
        <v>1</v>
      </c>
      <c r="T18" t="s">
        <v>57</v>
      </c>
      <c r="U18" t="s">
        <v>58</v>
      </c>
      <c r="V18">
        <v>0</v>
      </c>
      <c r="W18">
        <v>0</v>
      </c>
      <c r="X18">
        <v>3</v>
      </c>
      <c r="Y18">
        <v>3</v>
      </c>
      <c r="Z18">
        <v>0</v>
      </c>
      <c r="AA18">
        <v>2000</v>
      </c>
      <c r="AB18">
        <v>1600</v>
      </c>
      <c r="AC18">
        <v>1600</v>
      </c>
      <c r="AD18">
        <v>0</v>
      </c>
      <c r="AE18">
        <v>0</v>
      </c>
      <c r="AF18">
        <v>0</v>
      </c>
      <c r="AG18">
        <v>304</v>
      </c>
      <c r="AH18">
        <v>0</v>
      </c>
      <c r="AI18">
        <v>0</v>
      </c>
      <c r="AJ18">
        <v>0</v>
      </c>
      <c r="AK18">
        <v>9</v>
      </c>
      <c r="AL18">
        <v>0</v>
      </c>
      <c r="AM18">
        <v>0</v>
      </c>
      <c r="AN18" t="s">
        <v>59</v>
      </c>
      <c r="AO18">
        <v>1</v>
      </c>
      <c r="AP18" t="s">
        <v>63</v>
      </c>
      <c r="AQ18" t="s">
        <v>65</v>
      </c>
      <c r="AR18">
        <v>1</v>
      </c>
      <c r="AS18">
        <v>3</v>
      </c>
      <c r="AT18">
        <v>0</v>
      </c>
      <c r="AU18">
        <v>0</v>
      </c>
      <c r="AV18">
        <v>100</v>
      </c>
      <c r="AW18" s="1">
        <v>43924</v>
      </c>
      <c r="AX18">
        <v>17900</v>
      </c>
      <c r="AY18">
        <v>271392</v>
      </c>
      <c r="AZ18">
        <v>289300</v>
      </c>
      <c r="BA18">
        <v>269900</v>
      </c>
      <c r="BB18">
        <v>1003</v>
      </c>
      <c r="BC18">
        <f>Granger_Sales[[#This Row],[land_extract]]*Lookups!$B$3</f>
        <v>21427.44252618168</v>
      </c>
      <c r="BD18">
        <f>Lookups!$B$2</f>
        <v>29703.559000000001</v>
      </c>
      <c r="BE18">
        <f>VLOOKUP(Granger_Sales[[#This Row],[quality]],Lookups!$H$2:$J$12,3,FALSE)</f>
        <v>56414</v>
      </c>
      <c r="BF18">
        <f>VLOOKUP(Granger_Sales[[#This Row],[condition]],Lookups!$H$17:$J$24,3,FALSE)</f>
        <v>101774</v>
      </c>
      <c r="BG18">
        <f>Granger_Sales[[#This Row],[Age]]*Lookups!$B$16</f>
        <v>-621.99329999999998</v>
      </c>
      <c r="BH18">
        <f>Granger_Sales[[#This Row],[living_area]]*Lookups!$B$17</f>
        <v>107636.6544</v>
      </c>
      <c r="BI18">
        <f>Granger_Sales[[#This Row],[garage_sqft]]*Lookups!$B$18</f>
        <v>14728.066144</v>
      </c>
      <c r="BJ18">
        <f>Granger_Sales[[#This Row],[Patio]]*Lookups!$B$19</f>
        <v>0</v>
      </c>
      <c r="BK18">
        <f>Granger_Sales[[#This Row],[days_prior_to_assessment]]*Lookups!$B$20</f>
        <v>-67363.094830000002</v>
      </c>
      <c r="BL18">
        <f>Granger_Sales[[#This Row],[land_value_1]]</f>
        <v>21427.44252618168</v>
      </c>
      <c r="BM18">
        <f>SUM(Granger_Sales[[#This Row],[Intercept]:[Days_prior_adj]])</f>
        <v>242271.191414</v>
      </c>
      <c r="BN18">
        <f>Granger_Sales[[#This Row],[detatched_value]]</f>
        <v>0</v>
      </c>
      <c r="BO18">
        <f>SUM(Granger_Sales[[#This Row],[predicted_land]:[predicted_det]])</f>
        <v>263698.63394018169</v>
      </c>
      <c r="BP18">
        <f>Granger_Sales[[#This Row],[predicted_total]]/Granger_Sales[[#This Row],[sale_price]]</f>
        <v>0.97702346772946158</v>
      </c>
      <c r="BQ18">
        <f>VLOOKUP(Granger_Sales[[#This Row],[quality]],Lookups!$A$25:$C$35,3,FALSE)</f>
        <v>0.98791809110152173</v>
      </c>
      <c r="BR18">
        <f>VLOOKUP(Granger_Sales[[#This Row],[condition]],Lookups!$A$38:$C$45,3,FALSE)</f>
        <v>0.99135053432734199</v>
      </c>
      <c r="BS18">
        <f>VLOOKUP(Granger_Sales[[#This Row],[decade]],Lookups!$G$28:$I$42,3,FALSE)</f>
        <v>0.99951026660104636</v>
      </c>
      <c r="BT18">
        <f>VLOOKUP(Granger_Sales[[#This Row],[living_area_range]],Lookups!$A$48:$C$57,3,FALSE)</f>
        <v>0.97860968051050168</v>
      </c>
      <c r="BU18">
        <f>Granger_Sales[[#This Row],[predicted_land]]</f>
        <v>21427.44252618168</v>
      </c>
      <c r="BV18">
        <f>Granger_Sales[[#This Row],[predicted_res]]*AVERAGE(Granger_Sales[[#This Row],[qual_adj]:[living_range_adj]])</f>
        <v>239690.31108937858</v>
      </c>
      <c r="BW18">
        <f>Granger_Sales[[#This Row],[predicted_det]]</f>
        <v>0</v>
      </c>
      <c r="BX18">
        <f>SUM(Granger_Sales[[#This Row],[final_land]:[final_det]])</f>
        <v>261117.75361556024</v>
      </c>
      <c r="BY18">
        <f>Granger_Sales[[#This Row],[final_total]]/Granger_Sales[[#This Row],[sale_price]]</f>
        <v>0.96746111009840774</v>
      </c>
      <c r="BZ18" s="7">
        <f>(Granger_Sales[[#This Row],[final_total]]-Granger_Sales[[#This Row],[sale_price]])^2</f>
        <v>77127851.557005182</v>
      </c>
      <c r="CA18" s="7">
        <f>(Granger_Sales[[#This Row],[final_total]]-AVERAGE(Granger_Sales[sale_price]))^2</f>
        <v>219928.29732009943</v>
      </c>
      <c r="CB18" s="7">
        <f>Granger_Sales[[#This Row],[SSE]]+Granger_Sales[[#This Row],[SSR]]</f>
        <v>77347779.85432528</v>
      </c>
      <c r="CC18" s="12">
        <f>ABS(Granger_Sales[[#This Row],[final_ratio]]-MEDIAN(Granger_Sales[final_ratio]))</f>
        <v>2.3077673435353385E-2</v>
      </c>
    </row>
    <row r="19" spans="1:81" x14ac:dyDescent="0.25">
      <c r="A19">
        <v>21102112495</v>
      </c>
      <c r="B19">
        <v>0</v>
      </c>
      <c r="C19">
        <v>8376</v>
      </c>
      <c r="D19">
        <v>0</v>
      </c>
      <c r="E19" t="s">
        <v>54</v>
      </c>
      <c r="F19" t="s">
        <v>54</v>
      </c>
      <c r="G19">
        <v>3</v>
      </c>
      <c r="H19" t="s">
        <v>55</v>
      </c>
      <c r="I19">
        <v>202000</v>
      </c>
      <c r="J19">
        <v>27800</v>
      </c>
      <c r="K19">
        <v>0.19</v>
      </c>
      <c r="L19">
        <v>0</v>
      </c>
      <c r="M19">
        <v>0</v>
      </c>
      <c r="N19">
        <v>0</v>
      </c>
      <c r="O19">
        <v>47108.068500000001</v>
      </c>
      <c r="P19">
        <v>122297.704</v>
      </c>
      <c r="Q19">
        <f>(LN(Granger_Sales[[#This Row],[parcel_acres]])*Granger_Sales[[#This Row],[coeff]])+Granger_Sales[[#This Row],[const]]</f>
        <v>44063.864548957994</v>
      </c>
      <c r="R19" t="s">
        <v>69</v>
      </c>
      <c r="S19">
        <v>1</v>
      </c>
      <c r="T19" t="s">
        <v>64</v>
      </c>
      <c r="U19" t="s">
        <v>58</v>
      </c>
      <c r="V19">
        <v>0</v>
      </c>
      <c r="W19">
        <v>0</v>
      </c>
      <c r="X19">
        <v>3</v>
      </c>
      <c r="Y19">
        <v>3</v>
      </c>
      <c r="Z19">
        <v>0</v>
      </c>
      <c r="AA19">
        <v>1500</v>
      </c>
      <c r="AB19">
        <v>1084</v>
      </c>
      <c r="AC19">
        <v>1084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5</v>
      </c>
      <c r="AL19">
        <v>0</v>
      </c>
      <c r="AM19">
        <v>0</v>
      </c>
      <c r="AN19" t="s">
        <v>59</v>
      </c>
      <c r="AO19">
        <v>1</v>
      </c>
      <c r="AP19" t="s">
        <v>67</v>
      </c>
      <c r="AQ19" t="s">
        <v>65</v>
      </c>
      <c r="AR19">
        <v>1</v>
      </c>
      <c r="AS19">
        <v>3</v>
      </c>
      <c r="AT19">
        <v>0</v>
      </c>
      <c r="AU19">
        <v>0</v>
      </c>
      <c r="AV19">
        <v>100</v>
      </c>
      <c r="AW19" s="1">
        <v>43941</v>
      </c>
      <c r="AX19">
        <v>21200</v>
      </c>
      <c r="AY19">
        <v>156958</v>
      </c>
      <c r="AZ19">
        <v>178200</v>
      </c>
      <c r="BA19">
        <v>227000</v>
      </c>
      <c r="BB19">
        <v>986</v>
      </c>
      <c r="BC19">
        <f>Granger_Sales[[#This Row],[land_extract]]*Lookups!$B$3</f>
        <v>26250.201278842385</v>
      </c>
      <c r="BD19">
        <f>Lookups!$B$2</f>
        <v>29703.559000000001</v>
      </c>
      <c r="BE19">
        <f>VLOOKUP(Granger_Sales[[#This Row],[quality]],Lookups!$H$2:$J$12,3,FALSE)</f>
        <v>36568</v>
      </c>
      <c r="BF19">
        <f>VLOOKUP(Granger_Sales[[#This Row],[condition]],Lookups!$H$17:$J$24,3,FALSE)</f>
        <v>101774</v>
      </c>
      <c r="BG19">
        <f>Granger_Sales[[#This Row],[Age]]*Lookups!$B$16</f>
        <v>-621.99329999999998</v>
      </c>
      <c r="BH19">
        <f>Granger_Sales[[#This Row],[living_area]]*Lookups!$B$17</f>
        <v>72923.833356000003</v>
      </c>
      <c r="BI19">
        <f>Granger_Sales[[#This Row],[garage_sqft]]*Lookups!$B$18</f>
        <v>0</v>
      </c>
      <c r="BJ19">
        <f>Granger_Sales[[#This Row],[Patio]]*Lookups!$B$19</f>
        <v>0</v>
      </c>
      <c r="BK19">
        <f>Granger_Sales[[#This Row],[days_prior_to_assessment]]*Lookups!$B$20</f>
        <v>-66221.34745999999</v>
      </c>
      <c r="BL19">
        <f>Granger_Sales[[#This Row],[land_value_1]]</f>
        <v>26250.201278842385</v>
      </c>
      <c r="BM19">
        <f>SUM(Granger_Sales[[#This Row],[Intercept]:[Days_prior_adj]])</f>
        <v>174126.051596</v>
      </c>
      <c r="BN19">
        <f>Granger_Sales[[#This Row],[detatched_value]]</f>
        <v>0</v>
      </c>
      <c r="BO19">
        <f>SUM(Granger_Sales[[#This Row],[predicted_land]:[predicted_det]])</f>
        <v>200376.25287484238</v>
      </c>
      <c r="BP19">
        <f>Granger_Sales[[#This Row],[predicted_total]]/Granger_Sales[[#This Row],[sale_price]]</f>
        <v>0.88271477037375501</v>
      </c>
      <c r="BQ19">
        <f>VLOOKUP(Granger_Sales[[#This Row],[quality]],Lookups!$A$25:$C$35,3,FALSE)</f>
        <v>0.99049976351917957</v>
      </c>
      <c r="BR19">
        <f>VLOOKUP(Granger_Sales[[#This Row],[condition]],Lookups!$A$38:$C$45,3,FALSE)</f>
        <v>0.99135053432734199</v>
      </c>
      <c r="BS19">
        <f>VLOOKUP(Granger_Sales[[#This Row],[decade]],Lookups!$G$28:$I$42,3,FALSE)</f>
        <v>0.99951026660104636</v>
      </c>
      <c r="BT19">
        <f>VLOOKUP(Granger_Sales[[#This Row],[living_area_range]],Lookups!$A$48:$C$57,3,FALSE)</f>
        <v>0.97960506760539345</v>
      </c>
      <c r="BU19">
        <f>Granger_Sales[[#This Row],[predicted_land]]</f>
        <v>26250.201278842385</v>
      </c>
      <c r="BV19">
        <f>Granger_Sales[[#This Row],[predicted_res]]*AVERAGE(Granger_Sales[[#This Row],[qual_adj]:[living_range_adj]])</f>
        <v>172426.82650420917</v>
      </c>
      <c r="BW19">
        <f>Granger_Sales[[#This Row],[predicted_det]]</f>
        <v>0</v>
      </c>
      <c r="BX19">
        <f>SUM(Granger_Sales[[#This Row],[final_land]:[final_det]])</f>
        <v>198677.02778305154</v>
      </c>
      <c r="BY19">
        <f>Granger_Sales[[#This Row],[final_total]]/Granger_Sales[[#This Row],[sale_price]]</f>
        <v>0.87522919728216542</v>
      </c>
      <c r="BZ19" s="7">
        <f>(Granger_Sales[[#This Row],[final_total]]-Granger_Sales[[#This Row],[sale_price]])^2</f>
        <v>802190755.20203435</v>
      </c>
      <c r="CA19" s="7">
        <f>(Granger_Sales[[#This Row],[final_total]]-AVERAGE(Granger_Sales[sale_price]))^2</f>
        <v>3957629217.5569568</v>
      </c>
      <c r="CB19" s="7">
        <f>Granger_Sales[[#This Row],[SSE]]+Granger_Sales[[#This Row],[SSR]]</f>
        <v>4759819972.7589912</v>
      </c>
      <c r="CC19" s="12">
        <f>ABS(Granger_Sales[[#This Row],[final_ratio]]-MEDIAN(Granger_Sales[final_ratio]))</f>
        <v>0.11530958625159571</v>
      </c>
    </row>
    <row r="20" spans="1:81" x14ac:dyDescent="0.25">
      <c r="A20">
        <v>21101613405</v>
      </c>
      <c r="B20">
        <v>0.56999999999999995</v>
      </c>
      <c r="C20">
        <v>0</v>
      </c>
      <c r="D20">
        <v>0</v>
      </c>
      <c r="E20" t="s">
        <v>54</v>
      </c>
      <c r="F20" t="s">
        <v>54</v>
      </c>
      <c r="G20">
        <v>3</v>
      </c>
      <c r="H20" t="s">
        <v>55</v>
      </c>
      <c r="I20">
        <v>296000</v>
      </c>
      <c r="J20">
        <v>32000</v>
      </c>
      <c r="K20">
        <v>0.56999999999999995</v>
      </c>
      <c r="L20">
        <v>0</v>
      </c>
      <c r="M20">
        <v>0</v>
      </c>
      <c r="N20">
        <v>0</v>
      </c>
      <c r="O20">
        <v>47108.068500000001</v>
      </c>
      <c r="P20">
        <v>122297.704</v>
      </c>
      <c r="Q20">
        <f>(LN(Granger_Sales[[#This Row],[parcel_acres]])*Granger_Sales[[#This Row],[coeff]])+Granger_Sales[[#This Row],[const]]</f>
        <v>95817.367498477077</v>
      </c>
      <c r="R20" t="s">
        <v>59</v>
      </c>
      <c r="S20">
        <v>1</v>
      </c>
      <c r="T20" t="s">
        <v>64</v>
      </c>
      <c r="U20" t="s">
        <v>58</v>
      </c>
      <c r="V20">
        <v>0</v>
      </c>
      <c r="W20">
        <v>0</v>
      </c>
      <c r="X20">
        <v>3</v>
      </c>
      <c r="Y20">
        <v>3</v>
      </c>
      <c r="Z20">
        <v>0</v>
      </c>
      <c r="AA20">
        <v>2000</v>
      </c>
      <c r="AB20">
        <v>1728</v>
      </c>
      <c r="AC20">
        <v>1728</v>
      </c>
      <c r="AD20">
        <v>0</v>
      </c>
      <c r="AE20">
        <v>0</v>
      </c>
      <c r="AF20">
        <v>0</v>
      </c>
      <c r="AG20">
        <v>624</v>
      </c>
      <c r="AH20">
        <v>0</v>
      </c>
      <c r="AI20">
        <v>0</v>
      </c>
      <c r="AJ20">
        <v>0</v>
      </c>
      <c r="AK20">
        <v>9</v>
      </c>
      <c r="AL20">
        <v>0</v>
      </c>
      <c r="AM20">
        <v>0</v>
      </c>
      <c r="AN20" t="s">
        <v>59</v>
      </c>
      <c r="AO20">
        <v>1</v>
      </c>
      <c r="AP20" t="s">
        <v>63</v>
      </c>
      <c r="AQ20" t="s">
        <v>65</v>
      </c>
      <c r="AR20">
        <v>1</v>
      </c>
      <c r="AS20">
        <v>3</v>
      </c>
      <c r="AT20">
        <v>0</v>
      </c>
      <c r="AU20">
        <v>0</v>
      </c>
      <c r="AV20">
        <v>100</v>
      </c>
      <c r="AW20" s="1">
        <v>44008</v>
      </c>
      <c r="AX20">
        <v>23800</v>
      </c>
      <c r="AY20">
        <v>270691</v>
      </c>
      <c r="AZ20">
        <v>294500</v>
      </c>
      <c r="BA20">
        <v>316000</v>
      </c>
      <c r="BB20">
        <v>919</v>
      </c>
      <c r="BC20">
        <f>Granger_Sales[[#This Row],[land_extract]]*Lookups!$B$3</f>
        <v>57081.35699376175</v>
      </c>
      <c r="BD20">
        <f>Lookups!$B$2</f>
        <v>29703.559000000001</v>
      </c>
      <c r="BE20">
        <f>VLOOKUP(Granger_Sales[[#This Row],[quality]],Lookups!$H$2:$J$12,3,FALSE)</f>
        <v>36568</v>
      </c>
      <c r="BF20">
        <f>VLOOKUP(Granger_Sales[[#This Row],[condition]],Lookups!$H$17:$J$24,3,FALSE)</f>
        <v>101774</v>
      </c>
      <c r="BG20">
        <f>Granger_Sales[[#This Row],[Age]]*Lookups!$B$16</f>
        <v>-621.99329999999998</v>
      </c>
      <c r="BH20">
        <f>Granger_Sales[[#This Row],[living_area]]*Lookups!$B$17</f>
        <v>116247.586752</v>
      </c>
      <c r="BI20">
        <f>Granger_Sales[[#This Row],[garage_sqft]]*Lookups!$B$18</f>
        <v>30231.293664000001</v>
      </c>
      <c r="BJ20">
        <f>Granger_Sales[[#This Row],[Patio]]*Lookups!$B$19</f>
        <v>0</v>
      </c>
      <c r="BK20">
        <f>Granger_Sales[[#This Row],[days_prior_to_assessment]]*Lookups!$B$20</f>
        <v>-61721.519589999996</v>
      </c>
      <c r="BL20">
        <f>Granger_Sales[[#This Row],[land_value_1]]</f>
        <v>57081.35699376175</v>
      </c>
      <c r="BM20">
        <f>SUM(Granger_Sales[[#This Row],[Intercept]:[Days_prior_adj]])</f>
        <v>252180.92652600002</v>
      </c>
      <c r="BN20">
        <f>Granger_Sales[[#This Row],[detatched_value]]</f>
        <v>0</v>
      </c>
      <c r="BO20">
        <f>SUM(Granger_Sales[[#This Row],[predicted_land]:[predicted_det]])</f>
        <v>309262.28351976175</v>
      </c>
      <c r="BP20">
        <f>Granger_Sales[[#This Row],[predicted_total]]/Granger_Sales[[#This Row],[sale_price]]</f>
        <v>0.97867811240430935</v>
      </c>
      <c r="BQ20">
        <f>VLOOKUP(Granger_Sales[[#This Row],[quality]],Lookups!$A$25:$C$35,3,FALSE)</f>
        <v>0.99049976351917957</v>
      </c>
      <c r="BR20">
        <f>VLOOKUP(Granger_Sales[[#This Row],[condition]],Lookups!$A$38:$C$45,3,FALSE)</f>
        <v>0.99135053432734199</v>
      </c>
      <c r="BS20">
        <f>VLOOKUP(Granger_Sales[[#This Row],[decade]],Lookups!$G$28:$I$42,3,FALSE)</f>
        <v>0.99951026660104636</v>
      </c>
      <c r="BT20">
        <f>VLOOKUP(Granger_Sales[[#This Row],[living_area_range]],Lookups!$A$48:$C$57,3,FALSE)</f>
        <v>0.97860968051050168</v>
      </c>
      <c r="BU20">
        <f>Granger_Sales[[#This Row],[predicted_land]]</f>
        <v>57081.35699376175</v>
      </c>
      <c r="BV20">
        <f>Granger_Sales[[#This Row],[predicted_res]]*AVERAGE(Granger_Sales[[#This Row],[qual_adj]:[living_range_adj]])</f>
        <v>249657.24134722931</v>
      </c>
      <c r="BW20">
        <f>Granger_Sales[[#This Row],[predicted_det]]</f>
        <v>0</v>
      </c>
      <c r="BX20">
        <f>SUM(Granger_Sales[[#This Row],[final_land]:[final_det]])</f>
        <v>306738.59834099107</v>
      </c>
      <c r="BY20">
        <f>Granger_Sales[[#This Row],[final_total]]/Granger_Sales[[#This Row],[sale_price]]</f>
        <v>0.97069176690187042</v>
      </c>
      <c r="BZ20" s="7">
        <f>(Granger_Sales[[#This Row],[final_total]]-Granger_Sales[[#This Row],[sale_price]])^2</f>
        <v>85773560.689493373</v>
      </c>
      <c r="CA20" s="7">
        <f>(Granger_Sales[[#This Row],[final_total]]-AVERAGE(Granger_Sales[sale_price]))^2</f>
        <v>2038692230.5993559</v>
      </c>
      <c r="CB20" s="7">
        <f>Granger_Sales[[#This Row],[SSE]]+Granger_Sales[[#This Row],[SSR]]</f>
        <v>2124465791.2888494</v>
      </c>
      <c r="CC20" s="12">
        <f>ABS(Granger_Sales[[#This Row],[final_ratio]]-MEDIAN(Granger_Sales[final_ratio]))</f>
        <v>1.9847016631890702E-2</v>
      </c>
    </row>
    <row r="21" spans="1:81" x14ac:dyDescent="0.25">
      <c r="A21">
        <v>21102231415</v>
      </c>
      <c r="B21">
        <v>0.18</v>
      </c>
      <c r="C21">
        <v>7879</v>
      </c>
      <c r="D21">
        <v>0</v>
      </c>
      <c r="E21" t="s">
        <v>54</v>
      </c>
      <c r="F21" t="s">
        <v>54</v>
      </c>
      <c r="G21">
        <v>3</v>
      </c>
      <c r="H21" t="s">
        <v>55</v>
      </c>
      <c r="I21">
        <v>349600</v>
      </c>
      <c r="J21">
        <v>27400</v>
      </c>
      <c r="K21">
        <v>0.18</v>
      </c>
      <c r="L21">
        <v>0</v>
      </c>
      <c r="M21">
        <v>0</v>
      </c>
      <c r="N21">
        <v>0</v>
      </c>
      <c r="O21">
        <v>47108.068500000001</v>
      </c>
      <c r="P21">
        <v>122297.704</v>
      </c>
      <c r="Q21">
        <f>(LN(Granger_Sales[[#This Row],[parcel_acres]])*Granger_Sales[[#This Row],[coeff]])+Granger_Sales[[#This Row],[const]]</f>
        <v>41516.862185753198</v>
      </c>
      <c r="R21" t="s">
        <v>59</v>
      </c>
      <c r="S21">
        <v>1</v>
      </c>
      <c r="T21" t="s">
        <v>61</v>
      </c>
      <c r="U21" t="s">
        <v>58</v>
      </c>
      <c r="V21">
        <v>0</v>
      </c>
      <c r="W21">
        <v>0</v>
      </c>
      <c r="X21">
        <v>3</v>
      </c>
      <c r="Y21">
        <v>3</v>
      </c>
      <c r="Z21">
        <v>0</v>
      </c>
      <c r="AA21">
        <v>2000</v>
      </c>
      <c r="AB21">
        <v>1695</v>
      </c>
      <c r="AC21">
        <v>1695</v>
      </c>
      <c r="AD21">
        <v>0</v>
      </c>
      <c r="AE21">
        <v>0</v>
      </c>
      <c r="AF21">
        <v>0</v>
      </c>
      <c r="AG21">
        <v>552</v>
      </c>
      <c r="AH21">
        <v>0</v>
      </c>
      <c r="AI21">
        <v>0</v>
      </c>
      <c r="AJ21">
        <v>0</v>
      </c>
      <c r="AK21">
        <v>9</v>
      </c>
      <c r="AL21">
        <v>0</v>
      </c>
      <c r="AM21">
        <v>0</v>
      </c>
      <c r="AN21" t="s">
        <v>59</v>
      </c>
      <c r="AO21">
        <v>1</v>
      </c>
      <c r="AP21" t="s">
        <v>63</v>
      </c>
      <c r="AQ21" t="s">
        <v>65</v>
      </c>
      <c r="AR21">
        <v>1</v>
      </c>
      <c r="AS21">
        <v>3</v>
      </c>
      <c r="AT21">
        <v>0</v>
      </c>
      <c r="AU21">
        <v>0</v>
      </c>
      <c r="AV21">
        <v>100</v>
      </c>
      <c r="AW21" s="1">
        <v>44239</v>
      </c>
      <c r="AX21">
        <v>20900</v>
      </c>
      <c r="AY21">
        <v>333483</v>
      </c>
      <c r="AZ21">
        <v>354400</v>
      </c>
      <c r="BA21">
        <v>310000</v>
      </c>
      <c r="BB21">
        <v>688</v>
      </c>
      <c r="BC21">
        <f>Granger_Sales[[#This Row],[land_extract]]*Lookups!$B$3</f>
        <v>24732.8735234085</v>
      </c>
      <c r="BD21">
        <f>Lookups!$B$2</f>
        <v>29703.559000000001</v>
      </c>
      <c r="BE21">
        <f>VLOOKUP(Granger_Sales[[#This Row],[quality]],Lookups!$H$2:$J$12,3,FALSE)</f>
        <v>71767</v>
      </c>
      <c r="BF21">
        <f>VLOOKUP(Granger_Sales[[#This Row],[condition]],Lookups!$H$17:$J$24,3,FALSE)</f>
        <v>101774</v>
      </c>
      <c r="BG21">
        <f>Granger_Sales[[#This Row],[Age]]*Lookups!$B$16</f>
        <v>-621.99329999999998</v>
      </c>
      <c r="BH21">
        <f>Granger_Sales[[#This Row],[living_area]]*Lookups!$B$17</f>
        <v>114027.580755</v>
      </c>
      <c r="BI21">
        <f>Granger_Sales[[#This Row],[garage_sqft]]*Lookups!$B$18</f>
        <v>26743.067472000002</v>
      </c>
      <c r="BJ21">
        <f>Granger_Sales[[#This Row],[Patio]]*Lookups!$B$19</f>
        <v>0</v>
      </c>
      <c r="BK21">
        <f>Granger_Sales[[#This Row],[days_prior_to_assessment]]*Lookups!$B$20</f>
        <v>-46207.187679999995</v>
      </c>
      <c r="BL21">
        <f>Granger_Sales[[#This Row],[land_value_1]]</f>
        <v>24732.8735234085</v>
      </c>
      <c r="BM21">
        <f>SUM(Granger_Sales[[#This Row],[Intercept]:[Days_prior_adj]])</f>
        <v>297186.02624700009</v>
      </c>
      <c r="BN21">
        <f>Granger_Sales[[#This Row],[detatched_value]]</f>
        <v>0</v>
      </c>
      <c r="BO21">
        <f>SUM(Granger_Sales[[#This Row],[predicted_land]:[predicted_det]])</f>
        <v>321918.89977040858</v>
      </c>
      <c r="BP21">
        <f>Granger_Sales[[#This Row],[predicted_total]]/Granger_Sales[[#This Row],[sale_price]]</f>
        <v>1.0384480637755116</v>
      </c>
      <c r="BQ21">
        <f>VLOOKUP(Granger_Sales[[#This Row],[quality]],Lookups!$A$25:$C$35,3,FALSE)</f>
        <v>0.992092799099482</v>
      </c>
      <c r="BR21">
        <f>VLOOKUP(Granger_Sales[[#This Row],[condition]],Lookups!$A$38:$C$45,3,FALSE)</f>
        <v>0.99135053432734199</v>
      </c>
      <c r="BS21">
        <f>VLOOKUP(Granger_Sales[[#This Row],[decade]],Lookups!$G$28:$I$42,3,FALSE)</f>
        <v>0.99951026660104636</v>
      </c>
      <c r="BT21">
        <f>VLOOKUP(Granger_Sales[[#This Row],[living_area_range]],Lookups!$A$48:$C$57,3,FALSE)</f>
        <v>0.97860968051050168</v>
      </c>
      <c r="BU21">
        <f>Granger_Sales[[#This Row],[predicted_land]]</f>
        <v>24732.8735234085</v>
      </c>
      <c r="BV21">
        <f>Granger_Sales[[#This Row],[predicted_res]]*AVERAGE(Granger_Sales[[#This Row],[qual_adj]:[living_range_adj]])</f>
        <v>294330.31226730708</v>
      </c>
      <c r="BW21">
        <f>Granger_Sales[[#This Row],[predicted_det]]</f>
        <v>0</v>
      </c>
      <c r="BX21">
        <f>SUM(Granger_Sales[[#This Row],[final_land]:[final_det]])</f>
        <v>319063.18579071556</v>
      </c>
      <c r="BY21">
        <f>Granger_Sales[[#This Row],[final_total]]/Granger_Sales[[#This Row],[sale_price]]</f>
        <v>1.0292360831958567</v>
      </c>
      <c r="BZ21" s="7">
        <f>(Granger_Sales[[#This Row],[final_total]]-Granger_Sales[[#This Row],[sale_price]])^2</f>
        <v>82141336.677028507</v>
      </c>
      <c r="CA21" s="7">
        <f>(Granger_Sales[[#This Row],[final_total]]-AVERAGE(Granger_Sales[sale_price]))^2</f>
        <v>3303544263.4824624</v>
      </c>
      <c r="CB21" s="7">
        <f>Granger_Sales[[#This Row],[SSE]]+Granger_Sales[[#This Row],[SSR]]</f>
        <v>3385685600.1594911</v>
      </c>
      <c r="CC21" s="12">
        <f>ABS(Granger_Sales[[#This Row],[final_ratio]]-MEDIAN(Granger_Sales[final_ratio]))</f>
        <v>3.8697299662095563E-2</v>
      </c>
    </row>
    <row r="22" spans="1:81" x14ac:dyDescent="0.25">
      <c r="A22">
        <v>21102231417</v>
      </c>
      <c r="B22">
        <v>0.18</v>
      </c>
      <c r="C22">
        <v>7968</v>
      </c>
      <c r="D22">
        <v>0</v>
      </c>
      <c r="E22" t="s">
        <v>54</v>
      </c>
      <c r="F22" t="s">
        <v>54</v>
      </c>
      <c r="G22">
        <v>3</v>
      </c>
      <c r="H22" t="s">
        <v>55</v>
      </c>
      <c r="I22">
        <v>357600</v>
      </c>
      <c r="J22">
        <v>27400</v>
      </c>
      <c r="K22">
        <v>0.18</v>
      </c>
      <c r="L22">
        <v>0</v>
      </c>
      <c r="M22">
        <v>0</v>
      </c>
      <c r="N22">
        <v>0</v>
      </c>
      <c r="O22">
        <v>47108.068500000001</v>
      </c>
      <c r="P22">
        <v>122297.704</v>
      </c>
      <c r="Q22">
        <f>(LN(Granger_Sales[[#This Row],[parcel_acres]])*Granger_Sales[[#This Row],[coeff]])+Granger_Sales[[#This Row],[const]]</f>
        <v>41516.862185753198</v>
      </c>
      <c r="R22" t="s">
        <v>59</v>
      </c>
      <c r="S22">
        <v>1</v>
      </c>
      <c r="T22" t="s">
        <v>61</v>
      </c>
      <c r="U22" t="s">
        <v>58</v>
      </c>
      <c r="V22">
        <v>0</v>
      </c>
      <c r="W22">
        <v>0</v>
      </c>
      <c r="X22">
        <v>3</v>
      </c>
      <c r="Y22">
        <v>3</v>
      </c>
      <c r="Z22">
        <v>0</v>
      </c>
      <c r="AA22">
        <v>2000</v>
      </c>
      <c r="AB22">
        <v>1902</v>
      </c>
      <c r="AC22">
        <v>1902</v>
      </c>
      <c r="AD22">
        <v>0</v>
      </c>
      <c r="AE22">
        <v>0</v>
      </c>
      <c r="AF22">
        <v>0</v>
      </c>
      <c r="AG22">
        <v>480</v>
      </c>
      <c r="AH22">
        <v>0</v>
      </c>
      <c r="AI22">
        <v>0</v>
      </c>
      <c r="AJ22">
        <v>0</v>
      </c>
      <c r="AK22">
        <v>8</v>
      </c>
      <c r="AL22">
        <v>0</v>
      </c>
      <c r="AM22">
        <v>0</v>
      </c>
      <c r="AN22" t="s">
        <v>59</v>
      </c>
      <c r="AO22">
        <v>1</v>
      </c>
      <c r="AP22" t="s">
        <v>63</v>
      </c>
      <c r="AQ22" t="s">
        <v>65</v>
      </c>
      <c r="AR22">
        <v>1</v>
      </c>
      <c r="AS22">
        <v>3</v>
      </c>
      <c r="AT22">
        <v>0</v>
      </c>
      <c r="AU22">
        <v>0</v>
      </c>
      <c r="AV22">
        <v>100</v>
      </c>
      <c r="AW22" s="1">
        <v>44767</v>
      </c>
      <c r="AX22">
        <v>20900</v>
      </c>
      <c r="AY22">
        <v>363940</v>
      </c>
      <c r="AZ22">
        <v>384800</v>
      </c>
      <c r="BA22">
        <v>387500</v>
      </c>
      <c r="BB22">
        <v>160</v>
      </c>
      <c r="BC22">
        <f>Granger_Sales[[#This Row],[land_extract]]*Lookups!$B$3</f>
        <v>24732.8735234085</v>
      </c>
      <c r="BD22">
        <f>Lookups!$B$2</f>
        <v>29703.559000000001</v>
      </c>
      <c r="BE22">
        <f>VLOOKUP(Granger_Sales[[#This Row],[quality]],Lookups!$H$2:$J$12,3,FALSE)</f>
        <v>71767</v>
      </c>
      <c r="BF22">
        <f>VLOOKUP(Granger_Sales[[#This Row],[condition]],Lookups!$H$17:$J$24,3,FALSE)</f>
        <v>101774</v>
      </c>
      <c r="BG22">
        <f>Granger_Sales[[#This Row],[Age]]*Lookups!$B$16</f>
        <v>-621.99329999999998</v>
      </c>
      <c r="BH22">
        <f>Granger_Sales[[#This Row],[living_area]]*Lookups!$B$17</f>
        <v>127953.07291799999</v>
      </c>
      <c r="BI22">
        <f>Granger_Sales[[#This Row],[garage_sqft]]*Lookups!$B$18</f>
        <v>23254.841280000001</v>
      </c>
      <c r="BJ22">
        <f>Granger_Sales[[#This Row],[Patio]]*Lookups!$B$19</f>
        <v>0</v>
      </c>
      <c r="BK22">
        <f>Granger_Sales[[#This Row],[days_prior_to_assessment]]*Lookups!$B$20</f>
        <v>-10745.857599999999</v>
      </c>
      <c r="BL22">
        <f>Granger_Sales[[#This Row],[land_value_1]]</f>
        <v>24732.8735234085</v>
      </c>
      <c r="BM22">
        <f>SUM(Granger_Sales[[#This Row],[Intercept]:[Days_prior_adj]])</f>
        <v>343084.62229799997</v>
      </c>
      <c r="BN22">
        <f>Granger_Sales[[#This Row],[detatched_value]]</f>
        <v>0</v>
      </c>
      <c r="BO22">
        <f>SUM(Granger_Sales[[#This Row],[predicted_land]:[predicted_det]])</f>
        <v>367817.49582140846</v>
      </c>
      <c r="BP22">
        <f>Granger_Sales[[#This Row],[predicted_total]]/Granger_Sales[[#This Row],[sale_price]]</f>
        <v>0.94920644082944117</v>
      </c>
      <c r="BQ22">
        <f>VLOOKUP(Granger_Sales[[#This Row],[quality]],Lookups!$A$25:$C$35,3,FALSE)</f>
        <v>0.992092799099482</v>
      </c>
      <c r="BR22">
        <f>VLOOKUP(Granger_Sales[[#This Row],[condition]],Lookups!$A$38:$C$45,3,FALSE)</f>
        <v>0.99135053432734199</v>
      </c>
      <c r="BS22">
        <f>VLOOKUP(Granger_Sales[[#This Row],[decade]],Lookups!$G$28:$I$42,3,FALSE)</f>
        <v>0.99951026660104636</v>
      </c>
      <c r="BT22">
        <f>VLOOKUP(Granger_Sales[[#This Row],[living_area_range]],Lookups!$A$48:$C$57,3,FALSE)</f>
        <v>0.97860968051050168</v>
      </c>
      <c r="BU22">
        <f>Granger_Sales[[#This Row],[predicted_land]]</f>
        <v>24732.8735234085</v>
      </c>
      <c r="BV22">
        <f>Granger_Sales[[#This Row],[predicted_res]]*AVERAGE(Granger_Sales[[#This Row],[qual_adj]:[living_range_adj]])</f>
        <v>339787.8604532833</v>
      </c>
      <c r="BW22">
        <f>Granger_Sales[[#This Row],[predicted_det]]</f>
        <v>0</v>
      </c>
      <c r="BX22">
        <f>SUM(Granger_Sales[[#This Row],[final_land]:[final_det]])</f>
        <v>364520.73397669179</v>
      </c>
      <c r="BY22">
        <f>Granger_Sales[[#This Row],[final_total]]/Granger_Sales[[#This Row],[sale_price]]</f>
        <v>0.9406986683269466</v>
      </c>
      <c r="BZ22" s="7">
        <f>(Granger_Sales[[#This Row],[final_total]]-Granger_Sales[[#This Row],[sale_price]])^2</f>
        <v>528046666.96996725</v>
      </c>
      <c r="CA22" s="7">
        <f>(Granger_Sales[[#This Row],[final_total]]-AVERAGE(Granger_Sales[sale_price]))^2</f>
        <v>10595411490.688816</v>
      </c>
      <c r="CB22" s="7">
        <f>Granger_Sales[[#This Row],[SSE]]+Granger_Sales[[#This Row],[SSR]]</f>
        <v>11123458157.658783</v>
      </c>
      <c r="CC22" s="12">
        <f>ABS(Granger_Sales[[#This Row],[final_ratio]]-MEDIAN(Granger_Sales[final_ratio]))</f>
        <v>4.9840115206814528E-2</v>
      </c>
    </row>
    <row r="23" spans="1:81" x14ac:dyDescent="0.25">
      <c r="A23">
        <v>21102231421</v>
      </c>
      <c r="B23">
        <v>0.17</v>
      </c>
      <c r="C23">
        <v>7524</v>
      </c>
      <c r="D23">
        <v>0</v>
      </c>
      <c r="E23" t="s">
        <v>54</v>
      </c>
      <c r="F23" t="s">
        <v>54</v>
      </c>
      <c r="G23">
        <v>3</v>
      </c>
      <c r="H23" t="s">
        <v>55</v>
      </c>
      <c r="I23">
        <v>337700</v>
      </c>
      <c r="J23">
        <v>27100</v>
      </c>
      <c r="K23">
        <v>0.17</v>
      </c>
      <c r="L23">
        <v>0</v>
      </c>
      <c r="M23">
        <v>0</v>
      </c>
      <c r="N23">
        <v>0</v>
      </c>
      <c r="O23">
        <v>47108.068500000001</v>
      </c>
      <c r="P23">
        <v>122297.704</v>
      </c>
      <c r="Q23">
        <f>(LN(Granger_Sales[[#This Row],[parcel_acres]])*Granger_Sales[[#This Row],[coeff]])+Granger_Sales[[#This Row],[const]]</f>
        <v>38824.239711229544</v>
      </c>
      <c r="R23" t="s">
        <v>59</v>
      </c>
      <c r="S23">
        <v>1</v>
      </c>
      <c r="T23" t="s">
        <v>57</v>
      </c>
      <c r="U23" t="s">
        <v>58</v>
      </c>
      <c r="V23">
        <v>0</v>
      </c>
      <c r="W23">
        <v>0</v>
      </c>
      <c r="X23">
        <v>4</v>
      </c>
      <c r="Y23">
        <v>4</v>
      </c>
      <c r="Z23">
        <v>0</v>
      </c>
      <c r="AA23">
        <v>2000</v>
      </c>
      <c r="AB23">
        <v>1728</v>
      </c>
      <c r="AC23">
        <v>1728</v>
      </c>
      <c r="AD23">
        <v>0</v>
      </c>
      <c r="AE23">
        <v>0</v>
      </c>
      <c r="AF23">
        <v>0</v>
      </c>
      <c r="AG23">
        <v>572</v>
      </c>
      <c r="AH23">
        <v>0</v>
      </c>
      <c r="AI23">
        <v>0</v>
      </c>
      <c r="AJ23">
        <v>0</v>
      </c>
      <c r="AK23">
        <v>9</v>
      </c>
      <c r="AL23">
        <v>0</v>
      </c>
      <c r="AM23">
        <v>0</v>
      </c>
      <c r="AN23" t="s">
        <v>59</v>
      </c>
      <c r="AO23">
        <v>1</v>
      </c>
      <c r="AP23" t="s">
        <v>63</v>
      </c>
      <c r="AQ23" t="s">
        <v>65</v>
      </c>
      <c r="AR23">
        <v>1</v>
      </c>
      <c r="AS23">
        <v>3</v>
      </c>
      <c r="AT23">
        <v>0</v>
      </c>
      <c r="AU23">
        <v>0</v>
      </c>
      <c r="AV23">
        <v>100</v>
      </c>
      <c r="AW23" s="1">
        <v>44608</v>
      </c>
      <c r="AX23">
        <v>20600</v>
      </c>
      <c r="AY23">
        <v>301334</v>
      </c>
      <c r="AZ23">
        <v>321900</v>
      </c>
      <c r="BA23">
        <v>365000</v>
      </c>
      <c r="BB23">
        <v>319</v>
      </c>
      <c r="BC23">
        <f>Granger_Sales[[#This Row],[land_extract]]*Lookups!$B$3</f>
        <v>23128.795382562545</v>
      </c>
      <c r="BD23">
        <f>Lookups!$B$2</f>
        <v>29703.559000000001</v>
      </c>
      <c r="BE23">
        <f>VLOOKUP(Granger_Sales[[#This Row],[quality]],Lookups!$H$2:$J$12,3,FALSE)</f>
        <v>56414</v>
      </c>
      <c r="BF23">
        <f>VLOOKUP(Granger_Sales[[#This Row],[condition]],Lookups!$H$17:$J$24,3,FALSE)</f>
        <v>101774</v>
      </c>
      <c r="BG23">
        <f>Granger_Sales[[#This Row],[Age]]*Lookups!$B$16</f>
        <v>-829.32439999999997</v>
      </c>
      <c r="BH23">
        <f>Granger_Sales[[#This Row],[living_area]]*Lookups!$B$17</f>
        <v>116247.586752</v>
      </c>
      <c r="BI23">
        <f>Granger_Sales[[#This Row],[garage_sqft]]*Lookups!$B$18</f>
        <v>27712.019192</v>
      </c>
      <c r="BJ23">
        <f>Granger_Sales[[#This Row],[Patio]]*Lookups!$B$19</f>
        <v>0</v>
      </c>
      <c r="BK23">
        <f>Granger_Sales[[#This Row],[days_prior_to_assessment]]*Lookups!$B$20</f>
        <v>-21424.55359</v>
      </c>
      <c r="BL23">
        <f>Granger_Sales[[#This Row],[land_value_1]]</f>
        <v>23128.795382562545</v>
      </c>
      <c r="BM23">
        <f>SUM(Granger_Sales[[#This Row],[Intercept]:[Days_prior_adj]])</f>
        <v>309597.28695399995</v>
      </c>
      <c r="BN23">
        <f>Granger_Sales[[#This Row],[detatched_value]]</f>
        <v>0</v>
      </c>
      <c r="BO23">
        <f>SUM(Granger_Sales[[#This Row],[predicted_land]:[predicted_det]])</f>
        <v>332726.08233656251</v>
      </c>
      <c r="BP23">
        <f>Granger_Sales[[#This Row],[predicted_total]]/Granger_Sales[[#This Row],[sale_price]]</f>
        <v>0.91157830777140414</v>
      </c>
      <c r="BQ23">
        <f>VLOOKUP(Granger_Sales[[#This Row],[quality]],Lookups!$A$25:$C$35,3,FALSE)</f>
        <v>0.98791809110152173</v>
      </c>
      <c r="BR23">
        <f>VLOOKUP(Granger_Sales[[#This Row],[condition]],Lookups!$A$38:$C$45,3,FALSE)</f>
        <v>0.99135053432734199</v>
      </c>
      <c r="BS23">
        <f>VLOOKUP(Granger_Sales[[#This Row],[decade]],Lookups!$G$28:$I$42,3,FALSE)</f>
        <v>0.99951026660104636</v>
      </c>
      <c r="BT23">
        <f>VLOOKUP(Granger_Sales[[#This Row],[living_area_range]],Lookups!$A$48:$C$57,3,FALSE)</f>
        <v>0.97860968051050168</v>
      </c>
      <c r="BU23">
        <f>Granger_Sales[[#This Row],[predicted_land]]</f>
        <v>23128.795382562545</v>
      </c>
      <c r="BV23">
        <f>Granger_Sales[[#This Row],[predicted_res]]*AVERAGE(Granger_Sales[[#This Row],[qual_adj]:[living_range_adj]])</f>
        <v>306299.19137031853</v>
      </c>
      <c r="BW23">
        <f>Granger_Sales[[#This Row],[predicted_det]]</f>
        <v>0</v>
      </c>
      <c r="BX23">
        <f>SUM(Granger_Sales[[#This Row],[final_land]:[final_det]])</f>
        <v>329427.98675288109</v>
      </c>
      <c r="BY23">
        <f>Granger_Sales[[#This Row],[final_total]]/Granger_Sales[[#This Row],[sale_price]]</f>
        <v>0.90254242945994823</v>
      </c>
      <c r="BZ23" s="7">
        <f>(Granger_Sales[[#This Row],[final_total]]-Granger_Sales[[#This Row],[sale_price]])^2</f>
        <v>1265368126.4532034</v>
      </c>
      <c r="CA23" s="7">
        <f>(Granger_Sales[[#This Row],[final_total]]-AVERAGE(Granger_Sales[sale_price]))^2</f>
        <v>4602437644.2387371</v>
      </c>
      <c r="CB23" s="7">
        <f>Granger_Sales[[#This Row],[SSE]]+Granger_Sales[[#This Row],[SSR]]</f>
        <v>5867805770.6919403</v>
      </c>
      <c r="CC23" s="12">
        <f>ABS(Granger_Sales[[#This Row],[final_ratio]]-MEDIAN(Granger_Sales[final_ratio]))</f>
        <v>8.7996354073812899E-2</v>
      </c>
    </row>
    <row r="24" spans="1:81" x14ac:dyDescent="0.25">
      <c r="A24">
        <v>21102231422</v>
      </c>
      <c r="B24">
        <v>0.18</v>
      </c>
      <c r="C24">
        <v>7672</v>
      </c>
      <c r="D24">
        <v>0</v>
      </c>
      <c r="E24" t="s">
        <v>54</v>
      </c>
      <c r="F24" t="s">
        <v>54</v>
      </c>
      <c r="G24">
        <v>3</v>
      </c>
      <c r="H24" t="s">
        <v>55</v>
      </c>
      <c r="I24">
        <v>353100</v>
      </c>
      <c r="J24">
        <v>27400</v>
      </c>
      <c r="K24">
        <v>0.18</v>
      </c>
      <c r="L24">
        <v>0</v>
      </c>
      <c r="M24">
        <v>0</v>
      </c>
      <c r="N24">
        <v>0</v>
      </c>
      <c r="O24">
        <v>47108.068500000001</v>
      </c>
      <c r="P24">
        <v>122297.704</v>
      </c>
      <c r="Q24">
        <f>(LN(Granger_Sales[[#This Row],[parcel_acres]])*Granger_Sales[[#This Row],[coeff]])+Granger_Sales[[#This Row],[const]]</f>
        <v>41516.862185753198</v>
      </c>
      <c r="R24" t="s">
        <v>59</v>
      </c>
      <c r="S24">
        <v>1</v>
      </c>
      <c r="T24" t="s">
        <v>61</v>
      </c>
      <c r="U24" t="s">
        <v>58</v>
      </c>
      <c r="V24">
        <v>0</v>
      </c>
      <c r="W24">
        <v>0</v>
      </c>
      <c r="X24">
        <v>4</v>
      </c>
      <c r="Y24">
        <v>4</v>
      </c>
      <c r="Z24">
        <v>0</v>
      </c>
      <c r="AA24">
        <v>2000</v>
      </c>
      <c r="AB24">
        <v>1728</v>
      </c>
      <c r="AC24">
        <v>1728</v>
      </c>
      <c r="AD24">
        <v>0</v>
      </c>
      <c r="AE24">
        <v>0</v>
      </c>
      <c r="AF24">
        <v>0</v>
      </c>
      <c r="AG24">
        <v>572</v>
      </c>
      <c r="AH24">
        <v>0</v>
      </c>
      <c r="AI24">
        <v>0</v>
      </c>
      <c r="AJ24">
        <v>0</v>
      </c>
      <c r="AK24">
        <v>9</v>
      </c>
      <c r="AL24">
        <v>0</v>
      </c>
      <c r="AM24">
        <v>0</v>
      </c>
      <c r="AN24" t="s">
        <v>59</v>
      </c>
      <c r="AO24">
        <v>1</v>
      </c>
      <c r="AP24" t="s">
        <v>63</v>
      </c>
      <c r="AQ24" t="s">
        <v>65</v>
      </c>
      <c r="AR24">
        <v>1</v>
      </c>
      <c r="AS24">
        <v>3</v>
      </c>
      <c r="AT24">
        <v>0</v>
      </c>
      <c r="AU24">
        <v>0</v>
      </c>
      <c r="AV24">
        <v>100</v>
      </c>
      <c r="AW24" s="1">
        <v>44441</v>
      </c>
      <c r="AX24">
        <v>20700</v>
      </c>
      <c r="AY24">
        <v>340931</v>
      </c>
      <c r="AZ24">
        <v>361600</v>
      </c>
      <c r="BA24">
        <v>350000</v>
      </c>
      <c r="BB24">
        <v>486</v>
      </c>
      <c r="BC24">
        <f>Granger_Sales[[#This Row],[land_extract]]*Lookups!$B$3</f>
        <v>24732.8735234085</v>
      </c>
      <c r="BD24">
        <f>Lookups!$B$2</f>
        <v>29703.559000000001</v>
      </c>
      <c r="BE24">
        <f>VLOOKUP(Granger_Sales[[#This Row],[quality]],Lookups!$H$2:$J$12,3,FALSE)</f>
        <v>71767</v>
      </c>
      <c r="BF24">
        <f>VLOOKUP(Granger_Sales[[#This Row],[condition]],Lookups!$H$17:$J$24,3,FALSE)</f>
        <v>101774</v>
      </c>
      <c r="BG24">
        <f>Granger_Sales[[#This Row],[Age]]*Lookups!$B$16</f>
        <v>-829.32439999999997</v>
      </c>
      <c r="BH24">
        <f>Granger_Sales[[#This Row],[living_area]]*Lookups!$B$17</f>
        <v>116247.586752</v>
      </c>
      <c r="BI24">
        <f>Granger_Sales[[#This Row],[garage_sqft]]*Lookups!$B$18</f>
        <v>27712.019192</v>
      </c>
      <c r="BJ24">
        <f>Granger_Sales[[#This Row],[Patio]]*Lookups!$B$19</f>
        <v>0</v>
      </c>
      <c r="BK24">
        <f>Granger_Sales[[#This Row],[days_prior_to_assessment]]*Lookups!$B$20</f>
        <v>-32640.542459999997</v>
      </c>
      <c r="BL24">
        <f>Granger_Sales[[#This Row],[land_value_1]]</f>
        <v>24732.8735234085</v>
      </c>
      <c r="BM24">
        <f>SUM(Granger_Sales[[#This Row],[Intercept]:[Days_prior_adj]])</f>
        <v>313734.29808400001</v>
      </c>
      <c r="BN24">
        <f>Granger_Sales[[#This Row],[detatched_value]]</f>
        <v>0</v>
      </c>
      <c r="BO24">
        <f>SUM(Granger_Sales[[#This Row],[predicted_land]:[predicted_det]])</f>
        <v>338467.1716074085</v>
      </c>
      <c r="BP24">
        <f>Granger_Sales[[#This Row],[predicted_total]]/Granger_Sales[[#This Row],[sale_price]]</f>
        <v>0.9670490617354528</v>
      </c>
      <c r="BQ24">
        <f>VLOOKUP(Granger_Sales[[#This Row],[quality]],Lookups!$A$25:$C$35,3,FALSE)</f>
        <v>0.992092799099482</v>
      </c>
      <c r="BR24">
        <f>VLOOKUP(Granger_Sales[[#This Row],[condition]],Lookups!$A$38:$C$45,3,FALSE)</f>
        <v>0.99135053432734199</v>
      </c>
      <c r="BS24">
        <f>VLOOKUP(Granger_Sales[[#This Row],[decade]],Lookups!$G$28:$I$42,3,FALSE)</f>
        <v>0.99951026660104636</v>
      </c>
      <c r="BT24">
        <f>VLOOKUP(Granger_Sales[[#This Row],[living_area_range]],Lookups!$A$48:$C$57,3,FALSE)</f>
        <v>0.97860968051050168</v>
      </c>
      <c r="BU24">
        <f>Granger_Sales[[#This Row],[predicted_land]]</f>
        <v>24732.8735234085</v>
      </c>
      <c r="BV24">
        <f>Granger_Sales[[#This Row],[predicted_res]]*AVERAGE(Granger_Sales[[#This Row],[qual_adj]:[living_range_adj]])</f>
        <v>310719.56878376362</v>
      </c>
      <c r="BW24">
        <f>Granger_Sales[[#This Row],[predicted_det]]</f>
        <v>0</v>
      </c>
      <c r="BX24">
        <f>SUM(Granger_Sales[[#This Row],[final_land]:[final_det]])</f>
        <v>335452.44230717211</v>
      </c>
      <c r="BY24">
        <f>Granger_Sales[[#This Row],[final_total]]/Granger_Sales[[#This Row],[sale_price]]</f>
        <v>0.95843554944906317</v>
      </c>
      <c r="BZ24" s="7">
        <f>(Granger_Sales[[#This Row],[final_total]]-Granger_Sales[[#This Row],[sale_price]])^2</f>
        <v>211631434.8261559</v>
      </c>
      <c r="CA24" s="7">
        <f>(Granger_Sales[[#This Row],[final_total]]-AVERAGE(Granger_Sales[sale_price]))^2</f>
        <v>5456145116.6245708</v>
      </c>
      <c r="CB24" s="7">
        <f>Granger_Sales[[#This Row],[SSE]]+Granger_Sales[[#This Row],[SSR]]</f>
        <v>5667776551.4507265</v>
      </c>
      <c r="CC24" s="12">
        <f>ABS(Granger_Sales[[#This Row],[final_ratio]]-MEDIAN(Granger_Sales[final_ratio]))</f>
        <v>3.2103234084697951E-2</v>
      </c>
    </row>
    <row r="25" spans="1:81" x14ac:dyDescent="0.25">
      <c r="A25">
        <v>21101531406</v>
      </c>
      <c r="B25">
        <v>0.17</v>
      </c>
      <c r="C25">
        <v>7598</v>
      </c>
      <c r="D25">
        <v>0</v>
      </c>
      <c r="E25" t="s">
        <v>54</v>
      </c>
      <c r="F25" t="s">
        <v>54</v>
      </c>
      <c r="G25">
        <v>3</v>
      </c>
      <c r="H25" t="s">
        <v>55</v>
      </c>
      <c r="I25">
        <v>324000</v>
      </c>
      <c r="J25">
        <v>27100</v>
      </c>
      <c r="K25">
        <v>0.17</v>
      </c>
      <c r="L25">
        <v>0</v>
      </c>
      <c r="M25">
        <v>0</v>
      </c>
      <c r="N25">
        <v>0</v>
      </c>
      <c r="O25">
        <v>47108.068500000001</v>
      </c>
      <c r="P25">
        <v>122297.704</v>
      </c>
      <c r="Q25">
        <f>(LN(Granger_Sales[[#This Row],[parcel_acres]])*Granger_Sales[[#This Row],[coeff]])+Granger_Sales[[#This Row],[const]]</f>
        <v>38824.239711229544</v>
      </c>
      <c r="R25" t="s">
        <v>59</v>
      </c>
      <c r="S25">
        <v>1</v>
      </c>
      <c r="T25" t="s">
        <v>61</v>
      </c>
      <c r="U25" t="s">
        <v>58</v>
      </c>
      <c r="V25">
        <v>0</v>
      </c>
      <c r="W25">
        <v>0</v>
      </c>
      <c r="X25">
        <v>4</v>
      </c>
      <c r="Y25">
        <v>4</v>
      </c>
      <c r="Z25">
        <v>0</v>
      </c>
      <c r="AA25">
        <v>1500</v>
      </c>
      <c r="AB25">
        <v>1408</v>
      </c>
      <c r="AC25">
        <v>1408</v>
      </c>
      <c r="AD25">
        <v>0</v>
      </c>
      <c r="AE25">
        <v>0</v>
      </c>
      <c r="AF25">
        <v>0</v>
      </c>
      <c r="AG25">
        <v>504</v>
      </c>
      <c r="AH25">
        <v>0</v>
      </c>
      <c r="AI25">
        <v>0</v>
      </c>
      <c r="AJ25">
        <v>0</v>
      </c>
      <c r="AK25">
        <v>9</v>
      </c>
      <c r="AL25">
        <v>0</v>
      </c>
      <c r="AM25">
        <v>0</v>
      </c>
      <c r="AN25" t="s">
        <v>59</v>
      </c>
      <c r="AO25">
        <v>1</v>
      </c>
      <c r="AP25" t="s">
        <v>63</v>
      </c>
      <c r="AQ25" t="s">
        <v>65</v>
      </c>
      <c r="AR25">
        <v>1</v>
      </c>
      <c r="AS25">
        <v>3</v>
      </c>
      <c r="AT25">
        <v>0</v>
      </c>
      <c r="AU25">
        <v>0</v>
      </c>
      <c r="AV25">
        <v>100</v>
      </c>
      <c r="AW25" s="1">
        <v>43993</v>
      </c>
      <c r="AX25">
        <v>20700</v>
      </c>
      <c r="AY25">
        <v>286553</v>
      </c>
      <c r="AZ25">
        <v>307300</v>
      </c>
      <c r="BA25">
        <v>259000</v>
      </c>
      <c r="BB25">
        <v>934</v>
      </c>
      <c r="BC25">
        <f>Granger_Sales[[#This Row],[land_extract]]*Lookups!$B$3</f>
        <v>23128.795382562545</v>
      </c>
      <c r="BD25">
        <f>Lookups!$B$2</f>
        <v>29703.559000000001</v>
      </c>
      <c r="BE25">
        <f>VLOOKUP(Granger_Sales[[#This Row],[quality]],Lookups!$H$2:$J$12,3,FALSE)</f>
        <v>71767</v>
      </c>
      <c r="BF25">
        <f>VLOOKUP(Granger_Sales[[#This Row],[condition]],Lookups!$H$17:$J$24,3,FALSE)</f>
        <v>101774</v>
      </c>
      <c r="BG25">
        <f>Granger_Sales[[#This Row],[Age]]*Lookups!$B$16</f>
        <v>-829.32439999999997</v>
      </c>
      <c r="BH25">
        <f>Granger_Sales[[#This Row],[living_area]]*Lookups!$B$17</f>
        <v>94720.255871999994</v>
      </c>
      <c r="BI25">
        <f>Granger_Sales[[#This Row],[garage_sqft]]*Lookups!$B$18</f>
        <v>24417.583343999999</v>
      </c>
      <c r="BJ25">
        <f>Granger_Sales[[#This Row],[Patio]]*Lookups!$B$19</f>
        <v>0</v>
      </c>
      <c r="BK25">
        <f>Granger_Sales[[#This Row],[days_prior_to_assessment]]*Lookups!$B$20</f>
        <v>-62728.943739999995</v>
      </c>
      <c r="BL25">
        <f>Granger_Sales[[#This Row],[land_value_1]]</f>
        <v>23128.795382562545</v>
      </c>
      <c r="BM25">
        <f>SUM(Granger_Sales[[#This Row],[Intercept]:[Days_prior_adj]])</f>
        <v>258824.13007599997</v>
      </c>
      <c r="BN25">
        <f>Granger_Sales[[#This Row],[detatched_value]]</f>
        <v>0</v>
      </c>
      <c r="BO25">
        <f>SUM(Granger_Sales[[#This Row],[predicted_land]:[predicted_det]])</f>
        <v>281952.9254585625</v>
      </c>
      <c r="BP25">
        <f>Granger_Sales[[#This Row],[predicted_total]]/Granger_Sales[[#This Row],[sale_price]]</f>
        <v>1.0886213338168436</v>
      </c>
      <c r="BQ25">
        <f>VLOOKUP(Granger_Sales[[#This Row],[quality]],Lookups!$A$25:$C$35,3,FALSE)</f>
        <v>0.992092799099482</v>
      </c>
      <c r="BR25">
        <f>VLOOKUP(Granger_Sales[[#This Row],[condition]],Lookups!$A$38:$C$45,3,FALSE)</f>
        <v>0.99135053432734199</v>
      </c>
      <c r="BS25">
        <f>VLOOKUP(Granger_Sales[[#This Row],[decade]],Lookups!$G$28:$I$42,3,FALSE)</f>
        <v>0.99951026660104636</v>
      </c>
      <c r="BT25">
        <f>VLOOKUP(Granger_Sales[[#This Row],[living_area_range]],Lookups!$A$48:$C$57,3,FALSE)</f>
        <v>0.97960506760539345</v>
      </c>
      <c r="BU25">
        <f>Granger_Sales[[#This Row],[predicted_land]]</f>
        <v>23128.795382562545</v>
      </c>
      <c r="BV25">
        <f>Granger_Sales[[#This Row],[predicted_res]]*AVERAGE(Granger_Sales[[#This Row],[qual_adj]:[living_range_adj]])</f>
        <v>256401.45000632326</v>
      </c>
      <c r="BW25">
        <f>Granger_Sales[[#This Row],[predicted_det]]</f>
        <v>0</v>
      </c>
      <c r="BX25">
        <f>SUM(Granger_Sales[[#This Row],[final_land]:[final_det]])</f>
        <v>279530.24538888579</v>
      </c>
      <c r="BY25">
        <f>Granger_Sales[[#This Row],[final_total]]/Granger_Sales[[#This Row],[sale_price]]</f>
        <v>1.0792673567138447</v>
      </c>
      <c r="BZ25" s="7">
        <f>(Granger_Sales[[#This Row],[final_total]]-Granger_Sales[[#This Row],[sale_price]])^2</f>
        <v>421490975.72786605</v>
      </c>
      <c r="CA25" s="7">
        <f>(Granger_Sales[[#This Row],[final_total]]-AVERAGE(Granger_Sales[sale_price]))^2</f>
        <v>321970148.24040383</v>
      </c>
      <c r="CB25" s="7">
        <f>Granger_Sales[[#This Row],[SSE]]+Granger_Sales[[#This Row],[SSR]]</f>
        <v>743461123.96826982</v>
      </c>
      <c r="CC25" s="12">
        <f>ABS(Granger_Sales[[#This Row],[final_ratio]]-MEDIAN(Granger_Sales[final_ratio]))</f>
        <v>8.8728573180083536E-2</v>
      </c>
    </row>
    <row r="26" spans="1:81" x14ac:dyDescent="0.25">
      <c r="A26">
        <v>21102112501</v>
      </c>
      <c r="B26">
        <v>0</v>
      </c>
      <c r="C26">
        <v>8401</v>
      </c>
      <c r="D26">
        <v>0</v>
      </c>
      <c r="E26" t="s">
        <v>54</v>
      </c>
      <c r="F26" t="s">
        <v>54</v>
      </c>
      <c r="G26">
        <v>3</v>
      </c>
      <c r="H26" t="s">
        <v>55</v>
      </c>
      <c r="I26">
        <v>207400</v>
      </c>
      <c r="J26">
        <v>27800</v>
      </c>
      <c r="K26">
        <v>0.19</v>
      </c>
      <c r="L26">
        <v>0</v>
      </c>
      <c r="M26">
        <v>0</v>
      </c>
      <c r="N26">
        <v>0</v>
      </c>
      <c r="O26">
        <v>47108.068500000001</v>
      </c>
      <c r="P26">
        <v>122297.704</v>
      </c>
      <c r="Q26">
        <f>(LN(Granger_Sales[[#This Row],[parcel_acres]])*Granger_Sales[[#This Row],[coeff]])+Granger_Sales[[#This Row],[const]]</f>
        <v>44063.864548957994</v>
      </c>
      <c r="R26" t="s">
        <v>69</v>
      </c>
      <c r="S26">
        <v>1</v>
      </c>
      <c r="T26" t="s">
        <v>64</v>
      </c>
      <c r="U26" t="s">
        <v>58</v>
      </c>
      <c r="V26">
        <v>0</v>
      </c>
      <c r="W26">
        <v>0</v>
      </c>
      <c r="X26">
        <v>5</v>
      </c>
      <c r="Y26">
        <v>5</v>
      </c>
      <c r="Z26">
        <v>10</v>
      </c>
      <c r="AA26">
        <v>1500</v>
      </c>
      <c r="AB26">
        <v>1080</v>
      </c>
      <c r="AC26">
        <v>1080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8</v>
      </c>
      <c r="AL26">
        <v>0</v>
      </c>
      <c r="AM26">
        <v>0</v>
      </c>
      <c r="AN26" t="s">
        <v>59</v>
      </c>
      <c r="AO26">
        <v>1</v>
      </c>
      <c r="AP26" t="s">
        <v>67</v>
      </c>
      <c r="AQ26" t="s">
        <v>65</v>
      </c>
      <c r="AR26">
        <v>1</v>
      </c>
      <c r="AS26">
        <v>3</v>
      </c>
      <c r="AT26">
        <v>0</v>
      </c>
      <c r="AU26">
        <v>0</v>
      </c>
      <c r="AV26">
        <v>100</v>
      </c>
      <c r="AW26" s="1">
        <v>43924</v>
      </c>
      <c r="AX26">
        <v>21200</v>
      </c>
      <c r="AY26">
        <v>156103</v>
      </c>
      <c r="AZ26">
        <v>177300</v>
      </c>
      <c r="BA26">
        <v>227000</v>
      </c>
      <c r="BB26">
        <v>1003</v>
      </c>
      <c r="BC26">
        <f>Granger_Sales[[#This Row],[land_extract]]*Lookups!$B$3</f>
        <v>26250.201278842385</v>
      </c>
      <c r="BD26">
        <f>Lookups!$B$2</f>
        <v>29703.559000000001</v>
      </c>
      <c r="BE26">
        <f>VLOOKUP(Granger_Sales[[#This Row],[quality]],Lookups!$H$2:$J$12,3,FALSE)</f>
        <v>36568</v>
      </c>
      <c r="BF26">
        <f>VLOOKUP(Granger_Sales[[#This Row],[condition]],Lookups!$H$17:$J$24,3,FALSE)</f>
        <v>101774</v>
      </c>
      <c r="BG26">
        <f>Granger_Sales[[#This Row],[Age]]*Lookups!$B$16</f>
        <v>-1036.6554999999998</v>
      </c>
      <c r="BH26">
        <f>Granger_Sales[[#This Row],[living_area]]*Lookups!$B$17</f>
        <v>72654.741720000005</v>
      </c>
      <c r="BI26">
        <f>Granger_Sales[[#This Row],[garage_sqft]]*Lookups!$B$18</f>
        <v>0</v>
      </c>
      <c r="BJ26">
        <f>Granger_Sales[[#This Row],[Patio]]*Lookups!$B$19</f>
        <v>0</v>
      </c>
      <c r="BK26">
        <f>Granger_Sales[[#This Row],[days_prior_to_assessment]]*Lookups!$B$20</f>
        <v>-67363.094830000002</v>
      </c>
      <c r="BL26">
        <f>Granger_Sales[[#This Row],[land_value_1]]</f>
        <v>26250.201278842385</v>
      </c>
      <c r="BM26">
        <f>SUM(Granger_Sales[[#This Row],[Intercept]:[Days_prior_adj]])</f>
        <v>172300.55038999999</v>
      </c>
      <c r="BN26">
        <f>Granger_Sales[[#This Row],[detatched_value]]</f>
        <v>0</v>
      </c>
      <c r="BO26">
        <f>SUM(Granger_Sales[[#This Row],[predicted_land]:[predicted_det]])</f>
        <v>198550.75166884236</v>
      </c>
      <c r="BP26">
        <f>Granger_Sales[[#This Row],[predicted_total]]/Granger_Sales[[#This Row],[sale_price]]</f>
        <v>0.8746729148407153</v>
      </c>
      <c r="BQ26">
        <f>VLOOKUP(Granger_Sales[[#This Row],[quality]],Lookups!$A$25:$C$35,3,FALSE)</f>
        <v>0.99049976351917957</v>
      </c>
      <c r="BR26">
        <f>VLOOKUP(Granger_Sales[[#This Row],[condition]],Lookups!$A$38:$C$45,3,FALSE)</f>
        <v>0.99135053432734199</v>
      </c>
      <c r="BS26">
        <f>VLOOKUP(Granger_Sales[[#This Row],[decade]],Lookups!$G$28:$I$42,3,FALSE)</f>
        <v>0.95532362136731586</v>
      </c>
      <c r="BT26">
        <f>VLOOKUP(Granger_Sales[[#This Row],[living_area_range]],Lookups!$A$48:$C$57,3,FALSE)</f>
        <v>0.97960506760539345</v>
      </c>
      <c r="BU26">
        <f>Granger_Sales[[#This Row],[predicted_land]]</f>
        <v>26250.201278842385</v>
      </c>
      <c r="BV26">
        <f>Granger_Sales[[#This Row],[predicted_res]]*AVERAGE(Granger_Sales[[#This Row],[qual_adj]:[living_range_adj]])</f>
        <v>168715.793796235</v>
      </c>
      <c r="BW26">
        <f>Granger_Sales[[#This Row],[predicted_det]]</f>
        <v>0</v>
      </c>
      <c r="BX26">
        <f>SUM(Granger_Sales[[#This Row],[final_land]:[final_det]])</f>
        <v>194965.99507507737</v>
      </c>
      <c r="BY26">
        <f>Granger_Sales[[#This Row],[final_total]]/Granger_Sales[[#This Row],[sale_price]]</f>
        <v>0.85888103557302808</v>
      </c>
      <c r="BZ26" s="7">
        <f>(Granger_Sales[[#This Row],[final_total]]-Granger_Sales[[#This Row],[sale_price]])^2</f>
        <v>1026177471.5299672</v>
      </c>
      <c r="CA26" s="7">
        <f>(Granger_Sales[[#This Row],[final_total]]-AVERAGE(Granger_Sales[sale_price]))^2</f>
        <v>4438320822.970396</v>
      </c>
      <c r="CB26" s="7">
        <f>Granger_Sales[[#This Row],[SSE]]+Granger_Sales[[#This Row],[SSR]]</f>
        <v>5464498294.5003633</v>
      </c>
      <c r="CC26" s="12">
        <f>ABS(Granger_Sales[[#This Row],[final_ratio]]-MEDIAN(Granger_Sales[final_ratio]))</f>
        <v>0.13165774796073304</v>
      </c>
    </row>
    <row r="27" spans="1:81" x14ac:dyDescent="0.25">
      <c r="A27">
        <v>21102112499</v>
      </c>
      <c r="B27">
        <v>0</v>
      </c>
      <c r="C27">
        <v>8401</v>
      </c>
      <c r="D27">
        <v>0</v>
      </c>
      <c r="E27" t="s">
        <v>54</v>
      </c>
      <c r="F27" t="s">
        <v>54</v>
      </c>
      <c r="G27">
        <v>3</v>
      </c>
      <c r="H27" t="s">
        <v>55</v>
      </c>
      <c r="I27">
        <v>207700</v>
      </c>
      <c r="J27">
        <v>27800</v>
      </c>
      <c r="K27">
        <v>0.19</v>
      </c>
      <c r="L27">
        <v>0</v>
      </c>
      <c r="M27">
        <v>0</v>
      </c>
      <c r="N27">
        <v>0</v>
      </c>
      <c r="O27">
        <v>47108.068500000001</v>
      </c>
      <c r="P27">
        <v>122297.704</v>
      </c>
      <c r="Q27">
        <f>(LN(Granger_Sales[[#This Row],[parcel_acres]])*Granger_Sales[[#This Row],[coeff]])+Granger_Sales[[#This Row],[const]]</f>
        <v>44063.864548957994</v>
      </c>
      <c r="R27" t="s">
        <v>69</v>
      </c>
      <c r="S27">
        <v>1</v>
      </c>
      <c r="T27" t="s">
        <v>64</v>
      </c>
      <c r="U27" t="s">
        <v>58</v>
      </c>
      <c r="V27">
        <v>0</v>
      </c>
      <c r="W27">
        <v>0</v>
      </c>
      <c r="X27">
        <v>5</v>
      </c>
      <c r="Y27">
        <v>5</v>
      </c>
      <c r="Z27">
        <v>10</v>
      </c>
      <c r="AA27">
        <v>1500</v>
      </c>
      <c r="AB27">
        <v>1084</v>
      </c>
      <c r="AC27">
        <v>1084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8</v>
      </c>
      <c r="AL27">
        <v>0</v>
      </c>
      <c r="AM27">
        <v>0</v>
      </c>
      <c r="AN27" t="s">
        <v>59</v>
      </c>
      <c r="AO27">
        <v>1</v>
      </c>
      <c r="AP27" t="s">
        <v>67</v>
      </c>
      <c r="AQ27" t="s">
        <v>65</v>
      </c>
      <c r="AR27">
        <v>1</v>
      </c>
      <c r="AS27">
        <v>3</v>
      </c>
      <c r="AT27">
        <v>0</v>
      </c>
      <c r="AU27">
        <v>0</v>
      </c>
      <c r="AV27">
        <v>100</v>
      </c>
      <c r="AW27" s="1">
        <v>44064</v>
      </c>
      <c r="AX27">
        <v>21200</v>
      </c>
      <c r="AY27">
        <v>157915</v>
      </c>
      <c r="AZ27">
        <v>179100</v>
      </c>
      <c r="BA27">
        <v>219000</v>
      </c>
      <c r="BB27">
        <v>863</v>
      </c>
      <c r="BC27">
        <f>Granger_Sales[[#This Row],[land_extract]]*Lookups!$B$3</f>
        <v>26250.201278842385</v>
      </c>
      <c r="BD27">
        <f>Lookups!$B$2</f>
        <v>29703.559000000001</v>
      </c>
      <c r="BE27">
        <f>VLOOKUP(Granger_Sales[[#This Row],[quality]],Lookups!$H$2:$J$12,3,FALSE)</f>
        <v>36568</v>
      </c>
      <c r="BF27">
        <f>VLOOKUP(Granger_Sales[[#This Row],[condition]],Lookups!$H$17:$J$24,3,FALSE)</f>
        <v>101774</v>
      </c>
      <c r="BG27">
        <f>Granger_Sales[[#This Row],[Age]]*Lookups!$B$16</f>
        <v>-1036.6554999999998</v>
      </c>
      <c r="BH27">
        <f>Granger_Sales[[#This Row],[living_area]]*Lookups!$B$17</f>
        <v>72923.833356000003</v>
      </c>
      <c r="BI27">
        <f>Granger_Sales[[#This Row],[garage_sqft]]*Lookups!$B$18</f>
        <v>0</v>
      </c>
      <c r="BJ27">
        <f>Granger_Sales[[#This Row],[Patio]]*Lookups!$B$19</f>
        <v>0</v>
      </c>
      <c r="BK27">
        <f>Granger_Sales[[#This Row],[days_prior_to_assessment]]*Lookups!$B$20</f>
        <v>-57960.469429999997</v>
      </c>
      <c r="BL27">
        <f>Granger_Sales[[#This Row],[land_value_1]]</f>
        <v>26250.201278842385</v>
      </c>
      <c r="BM27">
        <f>SUM(Granger_Sales[[#This Row],[Intercept]:[Days_prior_adj]])</f>
        <v>181972.26742600003</v>
      </c>
      <c r="BN27">
        <f>Granger_Sales[[#This Row],[detatched_value]]</f>
        <v>0</v>
      </c>
      <c r="BO27">
        <f>SUM(Granger_Sales[[#This Row],[predicted_land]:[predicted_det]])</f>
        <v>208222.46870484241</v>
      </c>
      <c r="BP27">
        <f>Granger_Sales[[#This Row],[predicted_total]]/Granger_Sales[[#This Row],[sale_price]]</f>
        <v>0.95078752833261371</v>
      </c>
      <c r="BQ27">
        <f>VLOOKUP(Granger_Sales[[#This Row],[quality]],Lookups!$A$25:$C$35,3,FALSE)</f>
        <v>0.99049976351917957</v>
      </c>
      <c r="BR27">
        <f>VLOOKUP(Granger_Sales[[#This Row],[condition]],Lookups!$A$38:$C$45,3,FALSE)</f>
        <v>0.99135053432734199</v>
      </c>
      <c r="BS27">
        <f>VLOOKUP(Granger_Sales[[#This Row],[decade]],Lookups!$G$28:$I$42,3,FALSE)</f>
        <v>0.95532362136731586</v>
      </c>
      <c r="BT27">
        <f>VLOOKUP(Granger_Sales[[#This Row],[living_area_range]],Lookups!$A$48:$C$57,3,FALSE)</f>
        <v>0.97960506760539345</v>
      </c>
      <c r="BU27">
        <f>Granger_Sales[[#This Row],[predicted_land]]</f>
        <v>26250.201278842385</v>
      </c>
      <c r="BV27">
        <f>Granger_Sales[[#This Row],[predicted_res]]*AVERAGE(Granger_Sales[[#This Row],[qual_adj]:[living_range_adj]])</f>
        <v>178186.28830950166</v>
      </c>
      <c r="BW27">
        <f>Granger_Sales[[#This Row],[predicted_det]]</f>
        <v>0</v>
      </c>
      <c r="BX27">
        <f>SUM(Granger_Sales[[#This Row],[final_land]:[final_det]])</f>
        <v>204436.48958834403</v>
      </c>
      <c r="BY27">
        <f>Granger_Sales[[#This Row],[final_total]]/Granger_Sales[[#This Row],[sale_price]]</f>
        <v>0.93349995245819195</v>
      </c>
      <c r="BZ27" s="7">
        <f>(Granger_Sales[[#This Row],[final_total]]-Granger_Sales[[#This Row],[sale_price]])^2</f>
        <v>212095835.51041174</v>
      </c>
      <c r="CA27" s="7">
        <f>(Granger_Sales[[#This Row],[final_total]]-AVERAGE(Granger_Sales[sale_price]))^2</f>
        <v>3266148693.2297921</v>
      </c>
      <c r="CB27" s="7">
        <f>Granger_Sales[[#This Row],[SSE]]+Granger_Sales[[#This Row],[SSR]]</f>
        <v>3478244528.7402039</v>
      </c>
      <c r="CC27" s="12">
        <f>ABS(Granger_Sales[[#This Row],[final_ratio]]-MEDIAN(Granger_Sales[final_ratio]))</f>
        <v>5.7038831075569174E-2</v>
      </c>
    </row>
    <row r="28" spans="1:81" x14ac:dyDescent="0.25">
      <c r="A28">
        <v>21101644473</v>
      </c>
      <c r="B28">
        <v>0.14000000000000001</v>
      </c>
      <c r="C28">
        <v>6000</v>
      </c>
      <c r="D28">
        <v>0</v>
      </c>
      <c r="E28" t="s">
        <v>54</v>
      </c>
      <c r="F28" t="s">
        <v>54</v>
      </c>
      <c r="G28">
        <v>3</v>
      </c>
      <c r="H28" t="s">
        <v>55</v>
      </c>
      <c r="I28">
        <v>272800</v>
      </c>
      <c r="J28">
        <v>24200</v>
      </c>
      <c r="K28">
        <v>0.14000000000000001</v>
      </c>
      <c r="L28">
        <v>0</v>
      </c>
      <c r="M28">
        <v>0</v>
      </c>
      <c r="N28">
        <v>0</v>
      </c>
      <c r="O28">
        <v>47108.068500000001</v>
      </c>
      <c r="P28">
        <v>122297.704</v>
      </c>
      <c r="Q28">
        <f>(LN(Granger_Sales[[#This Row],[parcel_acres]])*Granger_Sales[[#This Row],[coeff]])+Granger_Sales[[#This Row],[const]]</f>
        <v>29677.924883257932</v>
      </c>
      <c r="R28" t="s">
        <v>59</v>
      </c>
      <c r="S28">
        <v>2</v>
      </c>
      <c r="T28" t="s">
        <v>57</v>
      </c>
      <c r="U28" t="s">
        <v>58</v>
      </c>
      <c r="V28">
        <v>0</v>
      </c>
      <c r="W28">
        <v>0</v>
      </c>
      <c r="X28">
        <v>5</v>
      </c>
      <c r="Y28">
        <v>5</v>
      </c>
      <c r="Z28">
        <v>10</v>
      </c>
      <c r="AA28">
        <v>2000</v>
      </c>
      <c r="AB28">
        <v>1620</v>
      </c>
      <c r="AC28">
        <v>1080</v>
      </c>
      <c r="AD28">
        <v>540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11</v>
      </c>
      <c r="AL28">
        <v>0</v>
      </c>
      <c r="AM28">
        <v>0</v>
      </c>
      <c r="AN28" t="s">
        <v>59</v>
      </c>
      <c r="AO28">
        <v>1</v>
      </c>
      <c r="AP28" t="s">
        <v>60</v>
      </c>
      <c r="AQ28" t="s">
        <v>65</v>
      </c>
      <c r="AR28">
        <v>1</v>
      </c>
      <c r="AS28">
        <v>3</v>
      </c>
      <c r="AT28">
        <v>0</v>
      </c>
      <c r="AU28">
        <v>0</v>
      </c>
      <c r="AV28">
        <v>100</v>
      </c>
      <c r="AW28" s="1">
        <v>44439</v>
      </c>
      <c r="AX28">
        <v>17300</v>
      </c>
      <c r="AY28">
        <v>265991</v>
      </c>
      <c r="AZ28">
        <v>283300</v>
      </c>
      <c r="BA28">
        <v>195000</v>
      </c>
      <c r="BB28">
        <v>488</v>
      </c>
      <c r="BC28">
        <f>Granger_Sales[[#This Row],[land_extract]]*Lookups!$B$3</f>
        <v>17680.053933043157</v>
      </c>
      <c r="BD28">
        <f>Lookups!$B$2</f>
        <v>29703.559000000001</v>
      </c>
      <c r="BE28">
        <f>VLOOKUP(Granger_Sales[[#This Row],[quality]],Lookups!$H$2:$J$12,3,FALSE)</f>
        <v>56414</v>
      </c>
      <c r="BF28">
        <f>VLOOKUP(Granger_Sales[[#This Row],[condition]],Lookups!$H$17:$J$24,3,FALSE)</f>
        <v>101774</v>
      </c>
      <c r="BG28">
        <f>Granger_Sales[[#This Row],[Age]]*Lookups!$B$16</f>
        <v>-1036.6554999999998</v>
      </c>
      <c r="BH28">
        <f>Granger_Sales[[#This Row],[living_area]]*Lookups!$B$17</f>
        <v>108982.11258</v>
      </c>
      <c r="BI28">
        <f>Granger_Sales[[#This Row],[garage_sqft]]*Lookups!$B$18</f>
        <v>0</v>
      </c>
      <c r="BJ28">
        <f>Granger_Sales[[#This Row],[Patio]]*Lookups!$B$19</f>
        <v>0</v>
      </c>
      <c r="BK28">
        <f>Granger_Sales[[#This Row],[days_prior_to_assessment]]*Lookups!$B$20</f>
        <v>-32774.865679999995</v>
      </c>
      <c r="BL28">
        <f>Granger_Sales[[#This Row],[land_value_1]]</f>
        <v>17680.053933043157</v>
      </c>
      <c r="BM28">
        <f>SUM(Granger_Sales[[#This Row],[Intercept]:[Days_prior_adj]])</f>
        <v>263062.15040000004</v>
      </c>
      <c r="BN28">
        <f>Granger_Sales[[#This Row],[detatched_value]]</f>
        <v>0</v>
      </c>
      <c r="BO28">
        <f>SUM(Granger_Sales[[#This Row],[predicted_land]:[predicted_det]])</f>
        <v>280742.20433304319</v>
      </c>
      <c r="BP28">
        <f>Granger_Sales[[#This Row],[predicted_total]]/Granger_Sales[[#This Row],[sale_price]]</f>
        <v>1.4397036119643241</v>
      </c>
      <c r="BQ28">
        <f>VLOOKUP(Granger_Sales[[#This Row],[quality]],Lookups!$A$25:$C$35,3,FALSE)</f>
        <v>0.98791809110152173</v>
      </c>
      <c r="BR28">
        <f>VLOOKUP(Granger_Sales[[#This Row],[condition]],Lookups!$A$38:$C$45,3,FALSE)</f>
        <v>0.99135053432734199</v>
      </c>
      <c r="BS28">
        <f>VLOOKUP(Granger_Sales[[#This Row],[decade]],Lookups!$G$28:$I$42,3,FALSE)</f>
        <v>0.95532362136731586</v>
      </c>
      <c r="BT28">
        <f>VLOOKUP(Granger_Sales[[#This Row],[living_area_range]],Lookups!$A$48:$C$57,3,FALSE)</f>
        <v>0.97860968051050168</v>
      </c>
      <c r="BU28">
        <f>Granger_Sales[[#This Row],[predicted_land]]</f>
        <v>17680.053933043157</v>
      </c>
      <c r="BV28">
        <f>Granger_Sales[[#This Row],[predicted_res]]*AVERAGE(Granger_Sales[[#This Row],[qual_adj]:[living_range_adj]])</f>
        <v>257353.82848668005</v>
      </c>
      <c r="BW28">
        <f>Granger_Sales[[#This Row],[predicted_det]]</f>
        <v>0</v>
      </c>
      <c r="BX28">
        <f>SUM(Granger_Sales[[#This Row],[final_land]:[final_det]])</f>
        <v>275033.8824197232</v>
      </c>
      <c r="BY28">
        <f>Granger_Sales[[#This Row],[final_total]]/Granger_Sales[[#This Row],[sale_price]]</f>
        <v>1.4104301662549907</v>
      </c>
      <c r="BZ28" s="7">
        <f>(Granger_Sales[[#This Row],[final_total]]-Granger_Sales[[#This Row],[sale_price]])^2</f>
        <v>6405422335.1740789</v>
      </c>
      <c r="CA28" s="7">
        <f>(Granger_Sales[[#This Row],[final_total]]-AVERAGE(Granger_Sales[sale_price]))^2</f>
        <v>180826210.76032358</v>
      </c>
      <c r="CB28" s="7">
        <f>Granger_Sales[[#This Row],[SSE]]+Granger_Sales[[#This Row],[SSR]]</f>
        <v>6586248545.9344025</v>
      </c>
      <c r="CC28" s="12">
        <f>ABS(Granger_Sales[[#This Row],[final_ratio]]-MEDIAN(Granger_Sales[final_ratio]))</f>
        <v>0.41989138272122961</v>
      </c>
    </row>
    <row r="29" spans="1:81" x14ac:dyDescent="0.25">
      <c r="A29">
        <v>21102231441</v>
      </c>
      <c r="B29">
        <v>1.52</v>
      </c>
      <c r="C29">
        <v>0</v>
      </c>
      <c r="D29">
        <v>0</v>
      </c>
      <c r="E29" t="s">
        <v>54</v>
      </c>
      <c r="F29" t="s">
        <v>54</v>
      </c>
      <c r="G29">
        <v>3</v>
      </c>
      <c r="H29" t="s">
        <v>55</v>
      </c>
      <c r="I29">
        <v>428400</v>
      </c>
      <c r="J29">
        <v>40100</v>
      </c>
      <c r="K29">
        <v>1.52</v>
      </c>
      <c r="L29">
        <v>0</v>
      </c>
      <c r="M29">
        <v>0</v>
      </c>
      <c r="N29">
        <v>0</v>
      </c>
      <c r="O29">
        <v>47108.068500000001</v>
      </c>
      <c r="P29">
        <v>122297.704</v>
      </c>
      <c r="Q29">
        <f>(LN(Granger_Sales[[#This Row],[parcel_acres]])*Granger_Sales[[#This Row],[coeff]])+Granger_Sales[[#This Row],[const]]</f>
        <v>142022.3391361573</v>
      </c>
      <c r="R29" t="s">
        <v>59</v>
      </c>
      <c r="S29">
        <v>1</v>
      </c>
      <c r="T29" t="s">
        <v>61</v>
      </c>
      <c r="U29" t="s">
        <v>70</v>
      </c>
      <c r="V29">
        <v>0</v>
      </c>
      <c r="W29">
        <v>0</v>
      </c>
      <c r="X29">
        <v>6</v>
      </c>
      <c r="Y29">
        <v>6</v>
      </c>
      <c r="Z29">
        <v>10</v>
      </c>
      <c r="AA29">
        <v>2000</v>
      </c>
      <c r="AB29">
        <v>1964</v>
      </c>
      <c r="AC29">
        <v>1964</v>
      </c>
      <c r="AD29">
        <v>0</v>
      </c>
      <c r="AE29">
        <v>0</v>
      </c>
      <c r="AF29">
        <v>0</v>
      </c>
      <c r="AG29">
        <v>484</v>
      </c>
      <c r="AH29">
        <v>0</v>
      </c>
      <c r="AI29">
        <v>0</v>
      </c>
      <c r="AJ29">
        <v>0</v>
      </c>
      <c r="AK29">
        <v>10</v>
      </c>
      <c r="AL29">
        <v>0</v>
      </c>
      <c r="AM29">
        <v>0</v>
      </c>
      <c r="AN29" t="s">
        <v>59</v>
      </c>
      <c r="AO29">
        <v>1</v>
      </c>
      <c r="AP29" t="s">
        <v>63</v>
      </c>
      <c r="AQ29" t="s">
        <v>65</v>
      </c>
      <c r="AR29">
        <v>1</v>
      </c>
      <c r="AS29">
        <v>3</v>
      </c>
      <c r="AT29">
        <v>0</v>
      </c>
      <c r="AU29">
        <v>42700</v>
      </c>
      <c r="AV29">
        <v>100</v>
      </c>
      <c r="AW29" s="1">
        <v>44198</v>
      </c>
      <c r="AX29">
        <v>29100</v>
      </c>
      <c r="AY29">
        <v>415445</v>
      </c>
      <c r="AZ29">
        <v>444500</v>
      </c>
      <c r="BA29">
        <v>399500</v>
      </c>
      <c r="BB29">
        <v>729</v>
      </c>
      <c r="BC29">
        <f>Granger_Sales[[#This Row],[land_extract]]*Lookups!$B$3</f>
        <v>84607.081711454302</v>
      </c>
      <c r="BD29">
        <f>Lookups!$B$2</f>
        <v>29703.559000000001</v>
      </c>
      <c r="BE29">
        <f>VLOOKUP(Granger_Sales[[#This Row],[quality]],Lookups!$H$2:$J$12,3,FALSE)</f>
        <v>71767</v>
      </c>
      <c r="BF29">
        <f>VLOOKUP(Granger_Sales[[#This Row],[condition]],Lookups!$H$17:$J$24,3,FALSE)</f>
        <v>80695</v>
      </c>
      <c r="BG29">
        <f>Granger_Sales[[#This Row],[Age]]*Lookups!$B$16</f>
        <v>-1243.9866</v>
      </c>
      <c r="BH29">
        <f>Granger_Sales[[#This Row],[living_area]]*Lookups!$B$17</f>
        <v>132123.99327599999</v>
      </c>
      <c r="BI29">
        <f>Granger_Sales[[#This Row],[garage_sqft]]*Lookups!$B$18</f>
        <v>23448.631624000001</v>
      </c>
      <c r="BJ29">
        <f>Granger_Sales[[#This Row],[Patio]]*Lookups!$B$19</f>
        <v>0</v>
      </c>
      <c r="BK29">
        <f>Granger_Sales[[#This Row],[days_prior_to_assessment]]*Lookups!$B$20</f>
        <v>-48960.813689999995</v>
      </c>
      <c r="BL29">
        <f>Granger_Sales[[#This Row],[land_value_1]]</f>
        <v>84607.081711454302</v>
      </c>
      <c r="BM29">
        <f>SUM(Granger_Sales[[#This Row],[Intercept]:[Days_prior_adj]])</f>
        <v>287533.38361000002</v>
      </c>
      <c r="BN29">
        <f>Granger_Sales[[#This Row],[detatched_value]]</f>
        <v>42700</v>
      </c>
      <c r="BO29">
        <f>SUM(Granger_Sales[[#This Row],[predicted_land]:[predicted_det]])</f>
        <v>414840.46532145434</v>
      </c>
      <c r="BP29">
        <f>Granger_Sales[[#This Row],[predicted_total]]/Granger_Sales[[#This Row],[sale_price]]</f>
        <v>1.0383991622564563</v>
      </c>
      <c r="BQ29">
        <f>VLOOKUP(Granger_Sales[[#This Row],[quality]],Lookups!$A$25:$C$35,3,FALSE)</f>
        <v>0.992092799099482</v>
      </c>
      <c r="BR29">
        <f>VLOOKUP(Granger_Sales[[#This Row],[condition]],Lookups!$A$38:$C$45,3,FALSE)</f>
        <v>0.99484195314749324</v>
      </c>
      <c r="BS29">
        <f>VLOOKUP(Granger_Sales[[#This Row],[decade]],Lookups!$G$28:$I$42,3,FALSE)</f>
        <v>0.95532362136731586</v>
      </c>
      <c r="BT29">
        <f>VLOOKUP(Granger_Sales[[#This Row],[living_area_range]],Lookups!$A$48:$C$57,3,FALSE)</f>
        <v>0.97860968051050168</v>
      </c>
      <c r="BU29">
        <f>Granger_Sales[[#This Row],[predicted_land]]</f>
        <v>84607.081711454302</v>
      </c>
      <c r="BV29">
        <f>Granger_Sales[[#This Row],[predicted_res]]*AVERAGE(Granger_Sales[[#This Row],[qual_adj]:[living_range_adj]])</f>
        <v>281845.11457271461</v>
      </c>
      <c r="BW29">
        <f>Granger_Sales[[#This Row],[predicted_det]]</f>
        <v>42700</v>
      </c>
      <c r="BX29">
        <f>SUM(Granger_Sales[[#This Row],[final_land]:[final_det]])</f>
        <v>409152.19628416892</v>
      </c>
      <c r="BY29">
        <f>Granger_Sales[[#This Row],[final_total]]/Granger_Sales[[#This Row],[sale_price]]</f>
        <v>1.0241606915748909</v>
      </c>
      <c r="BZ29" s="7">
        <f>(Granger_Sales[[#This Row],[final_total]]-Granger_Sales[[#This Row],[sale_price]])^2</f>
        <v>93164893.108124375</v>
      </c>
      <c r="CA29" s="7">
        <f>(Granger_Sales[[#This Row],[final_total]]-AVERAGE(Granger_Sales[sale_price]))^2</f>
        <v>21775570159.887314</v>
      </c>
      <c r="CB29" s="7">
        <f>Granger_Sales[[#This Row],[SSE]]+Granger_Sales[[#This Row],[SSR]]</f>
        <v>21868735052.995438</v>
      </c>
      <c r="CC29" s="12">
        <f>ABS(Granger_Sales[[#This Row],[final_ratio]]-MEDIAN(Granger_Sales[final_ratio]))</f>
        <v>3.3621908041129744E-2</v>
      </c>
    </row>
    <row r="30" spans="1:81" x14ac:dyDescent="0.25">
      <c r="A30">
        <v>21102231434</v>
      </c>
      <c r="B30">
        <v>0.23</v>
      </c>
      <c r="C30">
        <v>9981</v>
      </c>
      <c r="D30">
        <v>0</v>
      </c>
      <c r="E30" t="s">
        <v>54</v>
      </c>
      <c r="F30" t="s">
        <v>54</v>
      </c>
      <c r="G30">
        <v>3</v>
      </c>
      <c r="H30" t="s">
        <v>55</v>
      </c>
      <c r="I30">
        <v>355300</v>
      </c>
      <c r="J30">
        <v>28900</v>
      </c>
      <c r="K30">
        <v>0.23</v>
      </c>
      <c r="L30">
        <v>0</v>
      </c>
      <c r="M30">
        <v>0</v>
      </c>
      <c r="N30">
        <v>0</v>
      </c>
      <c r="O30">
        <v>47108.068500000001</v>
      </c>
      <c r="P30">
        <v>122297.704</v>
      </c>
      <c r="Q30">
        <f>(LN(Granger_Sales[[#This Row],[parcel_acres]])*Granger_Sales[[#This Row],[coeff]])+Granger_Sales[[#This Row],[const]]</f>
        <v>53064.107729659416</v>
      </c>
      <c r="R30" t="s">
        <v>59</v>
      </c>
      <c r="S30">
        <v>1</v>
      </c>
      <c r="T30" t="s">
        <v>61</v>
      </c>
      <c r="U30" t="s">
        <v>58</v>
      </c>
      <c r="V30">
        <v>0</v>
      </c>
      <c r="W30">
        <v>0</v>
      </c>
      <c r="X30">
        <v>8</v>
      </c>
      <c r="Y30">
        <v>8</v>
      </c>
      <c r="Z30">
        <v>10</v>
      </c>
      <c r="AA30">
        <v>2000</v>
      </c>
      <c r="AB30">
        <v>1816</v>
      </c>
      <c r="AC30">
        <v>1816</v>
      </c>
      <c r="AD30">
        <v>0</v>
      </c>
      <c r="AE30">
        <v>0</v>
      </c>
      <c r="AF30">
        <v>0</v>
      </c>
      <c r="AG30">
        <v>506</v>
      </c>
      <c r="AH30">
        <v>0</v>
      </c>
      <c r="AI30">
        <v>0</v>
      </c>
      <c r="AJ30">
        <v>120</v>
      </c>
      <c r="AK30">
        <v>10</v>
      </c>
      <c r="AL30">
        <v>0</v>
      </c>
      <c r="AM30">
        <v>0</v>
      </c>
      <c r="AN30" t="s">
        <v>59</v>
      </c>
      <c r="AO30">
        <v>1</v>
      </c>
      <c r="AP30" t="s">
        <v>63</v>
      </c>
      <c r="AQ30" t="s">
        <v>65</v>
      </c>
      <c r="AR30">
        <v>1</v>
      </c>
      <c r="AS30">
        <v>3</v>
      </c>
      <c r="AT30">
        <v>0</v>
      </c>
      <c r="AU30">
        <v>0</v>
      </c>
      <c r="AV30">
        <v>100</v>
      </c>
      <c r="AW30" s="1">
        <v>44071</v>
      </c>
      <c r="AX30">
        <v>22000</v>
      </c>
      <c r="AY30">
        <v>350037</v>
      </c>
      <c r="AZ30">
        <v>372000</v>
      </c>
      <c r="BA30">
        <v>340000</v>
      </c>
      <c r="BB30">
        <v>856</v>
      </c>
      <c r="BC30">
        <f>Granger_Sales[[#This Row],[land_extract]]*Lookups!$B$3</f>
        <v>31611.923349076187</v>
      </c>
      <c r="BD30">
        <f>Lookups!$B$2</f>
        <v>29703.559000000001</v>
      </c>
      <c r="BE30">
        <f>VLOOKUP(Granger_Sales[[#This Row],[quality]],Lookups!$H$2:$J$12,3,FALSE)</f>
        <v>71767</v>
      </c>
      <c r="BF30">
        <f>VLOOKUP(Granger_Sales[[#This Row],[condition]],Lookups!$H$17:$J$24,3,FALSE)</f>
        <v>101774</v>
      </c>
      <c r="BG30">
        <f>Granger_Sales[[#This Row],[Age]]*Lookups!$B$16</f>
        <v>-1658.6487999999999</v>
      </c>
      <c r="BH30">
        <f>Granger_Sales[[#This Row],[living_area]]*Lookups!$B$17</f>
        <v>122167.602744</v>
      </c>
      <c r="BI30">
        <f>Granger_Sales[[#This Row],[garage_sqft]]*Lookups!$B$18</f>
        <v>24514.478515999999</v>
      </c>
      <c r="BJ30">
        <f>Granger_Sales[[#This Row],[Patio]]*Lookups!$B$19</f>
        <v>6517.8115199999993</v>
      </c>
      <c r="BK30">
        <f>Granger_Sales[[#This Row],[days_prior_to_assessment]]*Lookups!$B$20</f>
        <v>-57490.338159999999</v>
      </c>
      <c r="BL30">
        <f>Granger_Sales[[#This Row],[land_value_1]]</f>
        <v>31611.923349076187</v>
      </c>
      <c r="BM30">
        <f>SUM(Granger_Sales[[#This Row],[Intercept]:[Days_prior_adj]])</f>
        <v>297295.46481999999</v>
      </c>
      <c r="BN30">
        <f>Granger_Sales[[#This Row],[detatched_value]]</f>
        <v>0</v>
      </c>
      <c r="BO30">
        <f>SUM(Granger_Sales[[#This Row],[predicted_land]:[predicted_det]])</f>
        <v>328907.38816907618</v>
      </c>
      <c r="BP30">
        <f>Granger_Sales[[#This Row],[predicted_total]]/Granger_Sales[[#This Row],[sale_price]]</f>
        <v>0.96737467108551822</v>
      </c>
      <c r="BQ30">
        <f>VLOOKUP(Granger_Sales[[#This Row],[quality]],Lookups!$A$25:$C$35,3,FALSE)</f>
        <v>0.992092799099482</v>
      </c>
      <c r="BR30">
        <f>VLOOKUP(Granger_Sales[[#This Row],[condition]],Lookups!$A$38:$C$45,3,FALSE)</f>
        <v>0.99135053432734199</v>
      </c>
      <c r="BS30">
        <f>VLOOKUP(Granger_Sales[[#This Row],[decade]],Lookups!$G$28:$I$42,3,FALSE)</f>
        <v>0.95532362136731586</v>
      </c>
      <c r="BT30">
        <f>VLOOKUP(Granger_Sales[[#This Row],[living_area_range]],Lookups!$A$48:$C$57,3,FALSE)</f>
        <v>0.97860968051050168</v>
      </c>
      <c r="BU30">
        <f>Granger_Sales[[#This Row],[predicted_land]]</f>
        <v>31611.923349076187</v>
      </c>
      <c r="BV30">
        <f>Granger_Sales[[#This Row],[predicted_res]]*AVERAGE(Granger_Sales[[#This Row],[qual_adj]:[living_range_adj]])</f>
        <v>291154.57691697526</v>
      </c>
      <c r="BW30">
        <f>Granger_Sales[[#This Row],[predicted_det]]</f>
        <v>0</v>
      </c>
      <c r="BX30">
        <f>SUM(Granger_Sales[[#This Row],[final_land]:[final_det]])</f>
        <v>322766.50026605144</v>
      </c>
      <c r="BY30">
        <f>Granger_Sales[[#This Row],[final_total]]/Granger_Sales[[#This Row],[sale_price]]</f>
        <v>0.94931323607662188</v>
      </c>
      <c r="BZ30" s="7">
        <f>(Granger_Sales[[#This Row],[final_total]]-Granger_Sales[[#This Row],[sale_price]])^2</f>
        <v>296993513.08000493</v>
      </c>
      <c r="CA30" s="7">
        <f>(Granger_Sales[[#This Row],[final_total]]-AVERAGE(Granger_Sales[sale_price]))^2</f>
        <v>3742965666.35179</v>
      </c>
      <c r="CB30" s="7">
        <f>Granger_Sales[[#This Row],[SSE]]+Granger_Sales[[#This Row],[SSR]]</f>
        <v>4039959179.4317951</v>
      </c>
      <c r="CC30" s="12">
        <f>ABS(Granger_Sales[[#This Row],[final_ratio]]-MEDIAN(Granger_Sales[final_ratio]))</f>
        <v>4.1225547457139244E-2</v>
      </c>
    </row>
    <row r="31" spans="1:81" x14ac:dyDescent="0.25">
      <c r="A31">
        <v>21101641577</v>
      </c>
      <c r="B31">
        <v>0.14000000000000001</v>
      </c>
      <c r="C31">
        <v>6300</v>
      </c>
      <c r="D31">
        <v>0</v>
      </c>
      <c r="E31" t="s">
        <v>54</v>
      </c>
      <c r="F31" t="s">
        <v>54</v>
      </c>
      <c r="G31">
        <v>3</v>
      </c>
      <c r="H31" t="s">
        <v>55</v>
      </c>
      <c r="I31">
        <v>207900</v>
      </c>
      <c r="J31">
        <v>25900</v>
      </c>
      <c r="K31">
        <v>0.14000000000000001</v>
      </c>
      <c r="L31">
        <v>0</v>
      </c>
      <c r="M31">
        <v>0</v>
      </c>
      <c r="N31">
        <v>0</v>
      </c>
      <c r="O31">
        <v>47108.068500000001</v>
      </c>
      <c r="P31">
        <v>122297.704</v>
      </c>
      <c r="Q31">
        <f>(LN(Granger_Sales[[#This Row],[parcel_acres]])*Granger_Sales[[#This Row],[coeff]])+Granger_Sales[[#This Row],[const]]</f>
        <v>29677.924883257932</v>
      </c>
      <c r="R31" t="s">
        <v>69</v>
      </c>
      <c r="S31">
        <v>1</v>
      </c>
      <c r="T31" t="s">
        <v>71</v>
      </c>
      <c r="U31" t="s">
        <v>70</v>
      </c>
      <c r="V31">
        <v>0</v>
      </c>
      <c r="W31">
        <v>0</v>
      </c>
      <c r="X31">
        <v>9</v>
      </c>
      <c r="Y31">
        <v>9</v>
      </c>
      <c r="Z31">
        <v>10</v>
      </c>
      <c r="AA31">
        <v>1500</v>
      </c>
      <c r="AB31">
        <v>1200</v>
      </c>
      <c r="AC31">
        <v>1200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5</v>
      </c>
      <c r="AL31">
        <v>0</v>
      </c>
      <c r="AM31">
        <v>0</v>
      </c>
      <c r="AN31" t="s">
        <v>59</v>
      </c>
      <c r="AO31">
        <v>1</v>
      </c>
      <c r="AP31" t="s">
        <v>68</v>
      </c>
      <c r="AQ31" t="s">
        <v>65</v>
      </c>
      <c r="AR31">
        <v>0</v>
      </c>
      <c r="AS31">
        <v>3</v>
      </c>
      <c r="AT31">
        <v>0</v>
      </c>
      <c r="AU31">
        <v>0</v>
      </c>
      <c r="AV31">
        <v>100</v>
      </c>
      <c r="AW31" s="1">
        <v>43834</v>
      </c>
      <c r="AX31">
        <v>19900</v>
      </c>
      <c r="AY31">
        <v>146546</v>
      </c>
      <c r="AZ31">
        <v>166400</v>
      </c>
      <c r="BA31">
        <v>155000</v>
      </c>
      <c r="BB31">
        <v>1093</v>
      </c>
      <c r="BC31">
        <f>Granger_Sales[[#This Row],[land_extract]]*Lookups!$B$3</f>
        <v>17680.053933043157</v>
      </c>
      <c r="BD31">
        <f>Lookups!$B$2</f>
        <v>29703.559000000001</v>
      </c>
      <c r="BE31">
        <f>VLOOKUP(Granger_Sales[[#This Row],[quality]],Lookups!$H$2:$J$12,3,FALSE)</f>
        <v>34195</v>
      </c>
      <c r="BF31">
        <f>VLOOKUP(Granger_Sales[[#This Row],[condition]],Lookups!$H$17:$J$24,3,FALSE)</f>
        <v>80695</v>
      </c>
      <c r="BG31">
        <f>Granger_Sales[[#This Row],[Age]]*Lookups!$B$16</f>
        <v>-1865.9798999999998</v>
      </c>
      <c r="BH31">
        <f>Granger_Sales[[#This Row],[living_area]]*Lookups!$B$17</f>
        <v>80727.4908</v>
      </c>
      <c r="BI31">
        <f>Granger_Sales[[#This Row],[garage_sqft]]*Lookups!$B$18</f>
        <v>0</v>
      </c>
      <c r="BJ31">
        <f>Granger_Sales[[#This Row],[Patio]]*Lookups!$B$19</f>
        <v>0</v>
      </c>
      <c r="BK31">
        <f>Granger_Sales[[#This Row],[days_prior_to_assessment]]*Lookups!$B$20</f>
        <v>-73407.639729999995</v>
      </c>
      <c r="BL31">
        <f>Granger_Sales[[#This Row],[land_value_1]]</f>
        <v>17680.053933043157</v>
      </c>
      <c r="BM31">
        <f>SUM(Granger_Sales[[#This Row],[Intercept]:[Days_prior_adj]])</f>
        <v>150047.43017000001</v>
      </c>
      <c r="BN31">
        <f>Granger_Sales[[#This Row],[detatched_value]]</f>
        <v>0</v>
      </c>
      <c r="BO31">
        <f>SUM(Granger_Sales[[#This Row],[predicted_land]:[predicted_det]])</f>
        <v>167727.48410304316</v>
      </c>
      <c r="BP31">
        <f>Granger_Sales[[#This Row],[predicted_total]]/Granger_Sales[[#This Row],[sale_price]]</f>
        <v>1.0821128006647946</v>
      </c>
      <c r="BQ31">
        <f>VLOOKUP(Granger_Sales[[#This Row],[quality]],Lookups!$A$25:$C$35,3,FALSE)</f>
        <v>0.98258795897788032</v>
      </c>
      <c r="BR31">
        <f>VLOOKUP(Granger_Sales[[#This Row],[condition]],Lookups!$A$38:$C$45,3,FALSE)</f>
        <v>0.99484195314749324</v>
      </c>
      <c r="BS31">
        <f>VLOOKUP(Granger_Sales[[#This Row],[decade]],Lookups!$G$28:$I$42,3,FALSE)</f>
        <v>0.95532362136731586</v>
      </c>
      <c r="BT31">
        <f>VLOOKUP(Granger_Sales[[#This Row],[living_area_range]],Lookups!$A$48:$C$57,3,FALSE)</f>
        <v>0.97960506760539345</v>
      </c>
      <c r="BU31">
        <f>Granger_Sales[[#This Row],[predicted_land]]</f>
        <v>17680.053933043157</v>
      </c>
      <c r="BV31">
        <f>Granger_Sales[[#This Row],[predicted_res]]*AVERAGE(Granger_Sales[[#This Row],[qual_adj]:[living_range_adj]])</f>
        <v>146759.83849956587</v>
      </c>
      <c r="BW31">
        <f>Granger_Sales[[#This Row],[predicted_det]]</f>
        <v>0</v>
      </c>
      <c r="BX31">
        <f>SUM(Granger_Sales[[#This Row],[final_land]:[final_det]])</f>
        <v>164439.89243260902</v>
      </c>
      <c r="BY31">
        <f>Granger_Sales[[#This Row],[final_total]]/Granger_Sales[[#This Row],[sale_price]]</f>
        <v>1.0609025318232841</v>
      </c>
      <c r="BZ31" s="7">
        <f>(Granger_Sales[[#This Row],[final_total]]-Granger_Sales[[#This Row],[sale_price]])^2</f>
        <v>89111569.139229044</v>
      </c>
      <c r="CA31" s="7">
        <f>(Granger_Sales[[#This Row],[final_total]]-AVERAGE(Granger_Sales[sale_price]))^2</f>
        <v>9437505863.5413284</v>
      </c>
      <c r="CB31" s="7">
        <f>Granger_Sales[[#This Row],[SSE]]+Granger_Sales[[#This Row],[SSR]]</f>
        <v>9526617432.6805573</v>
      </c>
      <c r="CC31" s="12">
        <f>ABS(Granger_Sales[[#This Row],[final_ratio]]-MEDIAN(Granger_Sales[final_ratio]))</f>
        <v>7.0363748289522965E-2</v>
      </c>
    </row>
    <row r="32" spans="1:81" x14ac:dyDescent="0.25">
      <c r="A32">
        <v>21101641579</v>
      </c>
      <c r="B32">
        <v>0.15</v>
      </c>
      <c r="C32">
        <v>6720</v>
      </c>
      <c r="D32">
        <v>0</v>
      </c>
      <c r="E32" t="s">
        <v>54</v>
      </c>
      <c r="F32" t="s">
        <v>54</v>
      </c>
      <c r="G32">
        <v>3</v>
      </c>
      <c r="H32" t="s">
        <v>55</v>
      </c>
      <c r="I32">
        <v>186500</v>
      </c>
      <c r="J32">
        <v>26300</v>
      </c>
      <c r="K32">
        <v>0.15</v>
      </c>
      <c r="L32">
        <v>0</v>
      </c>
      <c r="M32">
        <v>0</v>
      </c>
      <c r="N32">
        <v>0</v>
      </c>
      <c r="O32">
        <v>47108.068500000001</v>
      </c>
      <c r="P32">
        <v>122297.704</v>
      </c>
      <c r="Q32">
        <f>(LN(Granger_Sales[[#This Row],[parcel_acres]])*Granger_Sales[[#This Row],[coeff]])+Granger_Sales[[#This Row],[const]]</f>
        <v>32928.045799276937</v>
      </c>
      <c r="R32" t="s">
        <v>69</v>
      </c>
      <c r="S32">
        <v>1</v>
      </c>
      <c r="T32" t="s">
        <v>71</v>
      </c>
      <c r="U32" t="s">
        <v>72</v>
      </c>
      <c r="V32">
        <v>0</v>
      </c>
      <c r="W32">
        <v>0</v>
      </c>
      <c r="X32">
        <v>10</v>
      </c>
      <c r="Y32">
        <v>10</v>
      </c>
      <c r="Z32">
        <v>10</v>
      </c>
      <c r="AA32">
        <v>1500</v>
      </c>
      <c r="AB32">
        <v>1200</v>
      </c>
      <c r="AC32">
        <v>1200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5</v>
      </c>
      <c r="AL32">
        <v>0</v>
      </c>
      <c r="AM32">
        <v>0</v>
      </c>
      <c r="AN32" t="s">
        <v>59</v>
      </c>
      <c r="AO32">
        <v>1</v>
      </c>
      <c r="AP32" t="s">
        <v>68</v>
      </c>
      <c r="AQ32" t="s">
        <v>65</v>
      </c>
      <c r="AR32">
        <v>0</v>
      </c>
      <c r="AS32">
        <v>3</v>
      </c>
      <c r="AT32">
        <v>0</v>
      </c>
      <c r="AU32">
        <v>0</v>
      </c>
      <c r="AV32">
        <v>100</v>
      </c>
      <c r="AW32" s="1">
        <v>44701</v>
      </c>
      <c r="AX32">
        <v>20200</v>
      </c>
      <c r="AY32">
        <v>145035</v>
      </c>
      <c r="AZ32">
        <v>165200</v>
      </c>
      <c r="BA32">
        <v>225000</v>
      </c>
      <c r="BB32">
        <v>226</v>
      </c>
      <c r="BC32">
        <f>Granger_Sales[[#This Row],[land_extract]]*Lookups!$B$3</f>
        <v>19616.251066439891</v>
      </c>
      <c r="BD32">
        <f>Lookups!$B$2</f>
        <v>29703.559000000001</v>
      </c>
      <c r="BE32">
        <f>VLOOKUP(Granger_Sales[[#This Row],[quality]],Lookups!$H$2:$J$12,3,FALSE)</f>
        <v>34195</v>
      </c>
      <c r="BF32">
        <f>VLOOKUP(Granger_Sales[[#This Row],[condition]],Lookups!$H$17:$J$24,3,FALSE)</f>
        <v>94106</v>
      </c>
      <c r="BG32">
        <f>Granger_Sales[[#This Row],[Age]]*Lookups!$B$16</f>
        <v>-2073.3109999999997</v>
      </c>
      <c r="BH32">
        <f>Granger_Sales[[#This Row],[living_area]]*Lookups!$B$17</f>
        <v>80727.4908</v>
      </c>
      <c r="BI32">
        <f>Granger_Sales[[#This Row],[garage_sqft]]*Lookups!$B$18</f>
        <v>0</v>
      </c>
      <c r="BJ32">
        <f>Granger_Sales[[#This Row],[Patio]]*Lookups!$B$19</f>
        <v>0</v>
      </c>
      <c r="BK32">
        <f>Granger_Sales[[#This Row],[days_prior_to_assessment]]*Lookups!$B$20</f>
        <v>-15178.523859999999</v>
      </c>
      <c r="BL32">
        <f>Granger_Sales[[#This Row],[land_value_1]]</f>
        <v>19616.251066439891</v>
      </c>
      <c r="BM32">
        <f>SUM(Granger_Sales[[#This Row],[Intercept]:[Days_prior_adj]])</f>
        <v>221480.21494000003</v>
      </c>
      <c r="BN32">
        <f>Granger_Sales[[#This Row],[detatched_value]]</f>
        <v>0</v>
      </c>
      <c r="BO32">
        <f>SUM(Granger_Sales[[#This Row],[predicted_land]:[predicted_det]])</f>
        <v>241096.46600643994</v>
      </c>
      <c r="BP32">
        <f>Granger_Sales[[#This Row],[predicted_total]]/Granger_Sales[[#This Row],[sale_price]]</f>
        <v>1.0715398489175108</v>
      </c>
      <c r="BQ32">
        <f>VLOOKUP(Granger_Sales[[#This Row],[quality]],Lookups!$A$25:$C$35,3,FALSE)</f>
        <v>0.98258795897788032</v>
      </c>
      <c r="BR32">
        <f>VLOOKUP(Granger_Sales[[#This Row],[condition]],Lookups!$A$38:$C$45,3,FALSE)</f>
        <v>0.98658583151544277</v>
      </c>
      <c r="BS32">
        <f>VLOOKUP(Granger_Sales[[#This Row],[decade]],Lookups!$G$28:$I$42,3,FALSE)</f>
        <v>0.95532362136731586</v>
      </c>
      <c r="BT32">
        <f>VLOOKUP(Granger_Sales[[#This Row],[living_area_range]],Lookups!$A$48:$C$57,3,FALSE)</f>
        <v>0.97960506760539345</v>
      </c>
      <c r="BU32">
        <f>Granger_Sales[[#This Row],[predicted_land]]</f>
        <v>19616.251066439891</v>
      </c>
      <c r="BV32">
        <f>Granger_Sales[[#This Row],[predicted_res]]*AVERAGE(Granger_Sales[[#This Row],[qual_adj]:[living_range_adj]])</f>
        <v>216170.36407498099</v>
      </c>
      <c r="BW32">
        <f>Granger_Sales[[#This Row],[predicted_det]]</f>
        <v>0</v>
      </c>
      <c r="BX32">
        <f>SUM(Granger_Sales[[#This Row],[final_land]:[final_det]])</f>
        <v>235786.61514142089</v>
      </c>
      <c r="BY32">
        <f>Granger_Sales[[#This Row],[final_total]]/Granger_Sales[[#This Row],[sale_price]]</f>
        <v>1.0479405117396483</v>
      </c>
      <c r="BZ32" s="7">
        <f>(Granger_Sales[[#This Row],[final_total]]-Granger_Sales[[#This Row],[sale_price]])^2</f>
        <v>116351066.20913035</v>
      </c>
      <c r="CA32" s="7">
        <f>(Granger_Sales[[#This Row],[final_total]]-AVERAGE(Granger_Sales[sale_price]))^2</f>
        <v>665645346.21341693</v>
      </c>
      <c r="CB32" s="7">
        <f>Granger_Sales[[#This Row],[SSE]]+Granger_Sales[[#This Row],[SSR]]</f>
        <v>781996412.42254734</v>
      </c>
      <c r="CC32" s="12">
        <f>ABS(Granger_Sales[[#This Row],[final_ratio]]-MEDIAN(Granger_Sales[final_ratio]))</f>
        <v>5.7401728205887181E-2</v>
      </c>
    </row>
    <row r="33" spans="1:81" x14ac:dyDescent="0.25">
      <c r="A33">
        <v>21101641532</v>
      </c>
      <c r="B33">
        <v>0.14000000000000001</v>
      </c>
      <c r="C33">
        <v>6105</v>
      </c>
      <c r="D33">
        <v>0</v>
      </c>
      <c r="E33" t="s">
        <v>54</v>
      </c>
      <c r="F33" t="s">
        <v>54</v>
      </c>
      <c r="G33">
        <v>3</v>
      </c>
      <c r="H33" t="s">
        <v>55</v>
      </c>
      <c r="I33">
        <v>209800</v>
      </c>
      <c r="J33">
        <v>25900</v>
      </c>
      <c r="K33">
        <v>0.14000000000000001</v>
      </c>
      <c r="L33">
        <v>0</v>
      </c>
      <c r="M33">
        <v>0</v>
      </c>
      <c r="N33">
        <v>0</v>
      </c>
      <c r="O33">
        <v>47108.068500000001</v>
      </c>
      <c r="P33">
        <v>122297.704</v>
      </c>
      <c r="Q33">
        <f>(LN(Granger_Sales[[#This Row],[parcel_acres]])*Granger_Sales[[#This Row],[coeff]])+Granger_Sales[[#This Row],[const]]</f>
        <v>29677.924883257932</v>
      </c>
      <c r="R33" t="s">
        <v>69</v>
      </c>
      <c r="S33">
        <v>1</v>
      </c>
      <c r="T33" t="s">
        <v>71</v>
      </c>
      <c r="U33" t="s">
        <v>70</v>
      </c>
      <c r="V33">
        <v>0</v>
      </c>
      <c r="W33">
        <v>0</v>
      </c>
      <c r="X33">
        <v>10</v>
      </c>
      <c r="Y33">
        <v>10</v>
      </c>
      <c r="Z33">
        <v>10</v>
      </c>
      <c r="AA33">
        <v>1500</v>
      </c>
      <c r="AB33">
        <v>1200</v>
      </c>
      <c r="AC33">
        <v>1200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6</v>
      </c>
      <c r="AL33">
        <v>0</v>
      </c>
      <c r="AM33">
        <v>0</v>
      </c>
      <c r="AN33" t="s">
        <v>59</v>
      </c>
      <c r="AO33">
        <v>1</v>
      </c>
      <c r="AP33" t="s">
        <v>68</v>
      </c>
      <c r="AQ33" t="s">
        <v>65</v>
      </c>
      <c r="AR33">
        <v>0</v>
      </c>
      <c r="AS33">
        <v>3</v>
      </c>
      <c r="AT33">
        <v>0</v>
      </c>
      <c r="AU33">
        <v>0</v>
      </c>
      <c r="AV33">
        <v>100</v>
      </c>
      <c r="AW33" s="1">
        <v>44663</v>
      </c>
      <c r="AX33">
        <v>19700</v>
      </c>
      <c r="AY33">
        <v>147513</v>
      </c>
      <c r="AZ33">
        <v>167200</v>
      </c>
      <c r="BA33">
        <v>230000</v>
      </c>
      <c r="BB33">
        <v>264</v>
      </c>
      <c r="BC33">
        <f>Granger_Sales[[#This Row],[land_extract]]*Lookups!$B$3</f>
        <v>17680.053933043157</v>
      </c>
      <c r="BD33">
        <f>Lookups!$B$2</f>
        <v>29703.559000000001</v>
      </c>
      <c r="BE33">
        <f>VLOOKUP(Granger_Sales[[#This Row],[quality]],Lookups!$H$2:$J$12,3,FALSE)</f>
        <v>34195</v>
      </c>
      <c r="BF33">
        <f>VLOOKUP(Granger_Sales[[#This Row],[condition]],Lookups!$H$17:$J$24,3,FALSE)</f>
        <v>80695</v>
      </c>
      <c r="BG33">
        <f>Granger_Sales[[#This Row],[Age]]*Lookups!$B$16</f>
        <v>-2073.3109999999997</v>
      </c>
      <c r="BH33">
        <f>Granger_Sales[[#This Row],[living_area]]*Lookups!$B$17</f>
        <v>80727.4908</v>
      </c>
      <c r="BI33">
        <f>Granger_Sales[[#This Row],[garage_sqft]]*Lookups!$B$18</f>
        <v>0</v>
      </c>
      <c r="BJ33">
        <f>Granger_Sales[[#This Row],[Patio]]*Lookups!$B$19</f>
        <v>0</v>
      </c>
      <c r="BK33">
        <f>Granger_Sales[[#This Row],[days_prior_to_assessment]]*Lookups!$B$20</f>
        <v>-17730.66504</v>
      </c>
      <c r="BL33">
        <f>Granger_Sales[[#This Row],[land_value_1]]</f>
        <v>17680.053933043157</v>
      </c>
      <c r="BM33">
        <f>SUM(Granger_Sales[[#This Row],[Intercept]:[Days_prior_adj]])</f>
        <v>205517.07376000003</v>
      </c>
      <c r="BN33">
        <f>Granger_Sales[[#This Row],[detatched_value]]</f>
        <v>0</v>
      </c>
      <c r="BO33">
        <f>SUM(Granger_Sales[[#This Row],[predicted_land]:[predicted_det]])</f>
        <v>223197.12769304318</v>
      </c>
      <c r="BP33">
        <f>Granger_Sales[[#This Row],[predicted_total]]/Granger_Sales[[#This Row],[sale_price]]</f>
        <v>0.97042229431757898</v>
      </c>
      <c r="BQ33">
        <f>VLOOKUP(Granger_Sales[[#This Row],[quality]],Lookups!$A$25:$C$35,3,FALSE)</f>
        <v>0.98258795897788032</v>
      </c>
      <c r="BR33">
        <f>VLOOKUP(Granger_Sales[[#This Row],[condition]],Lookups!$A$38:$C$45,3,FALSE)</f>
        <v>0.99484195314749324</v>
      </c>
      <c r="BS33">
        <f>VLOOKUP(Granger_Sales[[#This Row],[decade]],Lookups!$G$28:$I$42,3,FALSE)</f>
        <v>0.95532362136731586</v>
      </c>
      <c r="BT33">
        <f>VLOOKUP(Granger_Sales[[#This Row],[living_area_range]],Lookups!$A$48:$C$57,3,FALSE)</f>
        <v>0.97960506760539345</v>
      </c>
      <c r="BU33">
        <f>Granger_Sales[[#This Row],[predicted_land]]</f>
        <v>17680.053933043157</v>
      </c>
      <c r="BV33">
        <f>Granger_Sales[[#This Row],[predicted_res]]*AVERAGE(Granger_Sales[[#This Row],[qual_adj]:[living_range_adj]])</f>
        <v>201014.12279936133</v>
      </c>
      <c r="BW33">
        <f>Granger_Sales[[#This Row],[predicted_det]]</f>
        <v>0</v>
      </c>
      <c r="BX33">
        <f>SUM(Granger_Sales[[#This Row],[final_land]:[final_det]])</f>
        <v>218694.17673240448</v>
      </c>
      <c r="BY33">
        <f>Granger_Sales[[#This Row],[final_total]]/Granger_Sales[[#This Row],[sale_price]]</f>
        <v>0.95084424666262812</v>
      </c>
      <c r="BZ33" s="7">
        <f>(Granger_Sales[[#This Row],[final_total]]-Granger_Sales[[#This Row],[sale_price]])^2</f>
        <v>127821639.75810429</v>
      </c>
      <c r="CA33" s="7">
        <f>(Granger_Sales[[#This Row],[final_total]]-AVERAGE(Granger_Sales[sale_price]))^2</f>
        <v>1839770160.7311974</v>
      </c>
      <c r="CB33" s="7">
        <f>Granger_Sales[[#This Row],[SSE]]+Granger_Sales[[#This Row],[SSR]]</f>
        <v>1967591800.4893017</v>
      </c>
      <c r="CC33" s="12">
        <f>ABS(Granger_Sales[[#This Row],[final_ratio]]-MEDIAN(Granger_Sales[final_ratio]))</f>
        <v>3.9694536871133002E-2</v>
      </c>
    </row>
    <row r="34" spans="1:81" x14ac:dyDescent="0.25">
      <c r="A34">
        <v>21101641554</v>
      </c>
      <c r="B34">
        <v>0.14000000000000001</v>
      </c>
      <c r="C34">
        <v>6150</v>
      </c>
      <c r="D34">
        <v>0</v>
      </c>
      <c r="E34" t="s">
        <v>54</v>
      </c>
      <c r="F34" t="s">
        <v>54</v>
      </c>
      <c r="G34">
        <v>3</v>
      </c>
      <c r="H34" t="s">
        <v>55</v>
      </c>
      <c r="I34">
        <v>188200</v>
      </c>
      <c r="J34">
        <v>25900</v>
      </c>
      <c r="K34">
        <v>0.14000000000000001</v>
      </c>
      <c r="L34">
        <v>0</v>
      </c>
      <c r="M34">
        <v>0</v>
      </c>
      <c r="N34">
        <v>0</v>
      </c>
      <c r="O34">
        <v>47108.068500000001</v>
      </c>
      <c r="P34">
        <v>122297.704</v>
      </c>
      <c r="Q34">
        <f>(LN(Granger_Sales[[#This Row],[parcel_acres]])*Granger_Sales[[#This Row],[coeff]])+Granger_Sales[[#This Row],[const]]</f>
        <v>29677.924883257932</v>
      </c>
      <c r="R34" t="s">
        <v>69</v>
      </c>
      <c r="S34">
        <v>1</v>
      </c>
      <c r="T34" t="s">
        <v>71</v>
      </c>
      <c r="U34" t="s">
        <v>72</v>
      </c>
      <c r="V34">
        <v>0</v>
      </c>
      <c r="W34">
        <v>0</v>
      </c>
      <c r="X34">
        <v>11</v>
      </c>
      <c r="Y34">
        <v>11</v>
      </c>
      <c r="Z34">
        <v>10</v>
      </c>
      <c r="AA34">
        <v>1500</v>
      </c>
      <c r="AB34">
        <v>1200</v>
      </c>
      <c r="AC34">
        <v>1200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6</v>
      </c>
      <c r="AL34">
        <v>0</v>
      </c>
      <c r="AM34">
        <v>0</v>
      </c>
      <c r="AN34" t="s">
        <v>59</v>
      </c>
      <c r="AO34">
        <v>1</v>
      </c>
      <c r="AP34" t="s">
        <v>68</v>
      </c>
      <c r="AQ34" t="s">
        <v>65</v>
      </c>
      <c r="AR34">
        <v>0</v>
      </c>
      <c r="AS34">
        <v>3</v>
      </c>
      <c r="AT34">
        <v>0</v>
      </c>
      <c r="AU34">
        <v>0</v>
      </c>
      <c r="AV34">
        <v>100</v>
      </c>
      <c r="AW34" s="1">
        <v>44497</v>
      </c>
      <c r="AX34">
        <v>19800</v>
      </c>
      <c r="AY34">
        <v>146808</v>
      </c>
      <c r="AZ34">
        <v>166600</v>
      </c>
      <c r="BA34">
        <v>203000</v>
      </c>
      <c r="BB34">
        <v>430</v>
      </c>
      <c r="BC34">
        <f>Granger_Sales[[#This Row],[land_extract]]*Lookups!$B$3</f>
        <v>17680.053933043157</v>
      </c>
      <c r="BD34">
        <f>Lookups!$B$2</f>
        <v>29703.559000000001</v>
      </c>
      <c r="BE34">
        <f>VLOOKUP(Granger_Sales[[#This Row],[quality]],Lookups!$H$2:$J$12,3,FALSE)</f>
        <v>34195</v>
      </c>
      <c r="BF34">
        <f>VLOOKUP(Granger_Sales[[#This Row],[condition]],Lookups!$H$17:$J$24,3,FALSE)</f>
        <v>94106</v>
      </c>
      <c r="BG34">
        <f>Granger_Sales[[#This Row],[Age]]*Lookups!$B$16</f>
        <v>-2280.6421</v>
      </c>
      <c r="BH34">
        <f>Granger_Sales[[#This Row],[living_area]]*Lookups!$B$17</f>
        <v>80727.4908</v>
      </c>
      <c r="BI34">
        <f>Granger_Sales[[#This Row],[garage_sqft]]*Lookups!$B$18</f>
        <v>0</v>
      </c>
      <c r="BJ34">
        <f>Granger_Sales[[#This Row],[Patio]]*Lookups!$B$19</f>
        <v>0</v>
      </c>
      <c r="BK34">
        <f>Granger_Sales[[#This Row],[days_prior_to_assessment]]*Lookups!$B$20</f>
        <v>-28879.492299999998</v>
      </c>
      <c r="BL34">
        <f>Granger_Sales[[#This Row],[land_value_1]]</f>
        <v>17680.053933043157</v>
      </c>
      <c r="BM34">
        <f>SUM(Granger_Sales[[#This Row],[Intercept]:[Days_prior_adj]])</f>
        <v>207571.9154</v>
      </c>
      <c r="BN34">
        <f>Granger_Sales[[#This Row],[detatched_value]]</f>
        <v>0</v>
      </c>
      <c r="BO34">
        <f>SUM(Granger_Sales[[#This Row],[predicted_land]:[predicted_det]])</f>
        <v>225251.96933304315</v>
      </c>
      <c r="BP34">
        <f>Granger_Sales[[#This Row],[predicted_total]]/Granger_Sales[[#This Row],[sale_price]]</f>
        <v>1.109615612478045</v>
      </c>
      <c r="BQ34">
        <f>VLOOKUP(Granger_Sales[[#This Row],[quality]],Lookups!$A$25:$C$35,3,FALSE)</f>
        <v>0.98258795897788032</v>
      </c>
      <c r="BR34">
        <f>VLOOKUP(Granger_Sales[[#This Row],[condition]],Lookups!$A$38:$C$45,3,FALSE)</f>
        <v>0.98658583151544277</v>
      </c>
      <c r="BS34">
        <f>VLOOKUP(Granger_Sales[[#This Row],[decade]],Lookups!$G$28:$I$42,3,FALSE)</f>
        <v>0.95532362136731586</v>
      </c>
      <c r="BT34">
        <f>VLOOKUP(Granger_Sales[[#This Row],[living_area_range]],Lookups!$A$48:$C$57,3,FALSE)</f>
        <v>0.97960506760539345</v>
      </c>
      <c r="BU34">
        <f>Granger_Sales[[#This Row],[predicted_land]]</f>
        <v>17680.053933043157</v>
      </c>
      <c r="BV34">
        <f>Granger_Sales[[#This Row],[predicted_res]]*AVERAGE(Granger_Sales[[#This Row],[qual_adj]:[living_range_adj]])</f>
        <v>202595.50739516338</v>
      </c>
      <c r="BW34">
        <f>Granger_Sales[[#This Row],[predicted_det]]</f>
        <v>0</v>
      </c>
      <c r="BX34">
        <f>SUM(Granger_Sales[[#This Row],[final_land]:[final_det]])</f>
        <v>220275.56132820653</v>
      </c>
      <c r="BY34">
        <f>Granger_Sales[[#This Row],[final_total]]/Granger_Sales[[#This Row],[sale_price]]</f>
        <v>1.0851012873310666</v>
      </c>
      <c r="BZ34" s="7">
        <f>(Granger_Sales[[#This Row],[final_total]]-Granger_Sales[[#This Row],[sale_price]])^2</f>
        <v>298445019.20462501</v>
      </c>
      <c r="CA34" s="7">
        <f>(Granger_Sales[[#This Row],[final_total]]-AVERAGE(Granger_Sales[sale_price]))^2</f>
        <v>1706611727.5282016</v>
      </c>
      <c r="CB34" s="7">
        <f>Granger_Sales[[#This Row],[SSE]]+Granger_Sales[[#This Row],[SSR]]</f>
        <v>2005056746.7328267</v>
      </c>
      <c r="CC34" s="12">
        <f>ABS(Granger_Sales[[#This Row],[final_ratio]]-MEDIAN(Granger_Sales[final_ratio]))</f>
        <v>9.4562503797305464E-2</v>
      </c>
    </row>
    <row r="35" spans="1:81" x14ac:dyDescent="0.25">
      <c r="A35">
        <v>21101641576</v>
      </c>
      <c r="B35">
        <v>0.14000000000000001</v>
      </c>
      <c r="C35">
        <v>6300</v>
      </c>
      <c r="D35">
        <v>0</v>
      </c>
      <c r="E35" t="s">
        <v>54</v>
      </c>
      <c r="F35" t="s">
        <v>54</v>
      </c>
      <c r="G35">
        <v>3</v>
      </c>
      <c r="H35" t="s">
        <v>55</v>
      </c>
      <c r="I35">
        <v>185200</v>
      </c>
      <c r="J35">
        <v>25900</v>
      </c>
      <c r="K35">
        <v>0.14000000000000001</v>
      </c>
      <c r="L35">
        <v>0</v>
      </c>
      <c r="M35">
        <v>0</v>
      </c>
      <c r="N35">
        <v>0</v>
      </c>
      <c r="O35">
        <v>47108.068500000001</v>
      </c>
      <c r="P35">
        <v>122297.704</v>
      </c>
      <c r="Q35">
        <f>(LN(Granger_Sales[[#This Row],[parcel_acres]])*Granger_Sales[[#This Row],[coeff]])+Granger_Sales[[#This Row],[const]]</f>
        <v>29677.924883257932</v>
      </c>
      <c r="R35" t="s">
        <v>69</v>
      </c>
      <c r="S35">
        <v>1</v>
      </c>
      <c r="T35" t="s">
        <v>71</v>
      </c>
      <c r="U35" t="s">
        <v>72</v>
      </c>
      <c r="V35">
        <v>0</v>
      </c>
      <c r="W35">
        <v>0</v>
      </c>
      <c r="X35">
        <v>13</v>
      </c>
      <c r="Y35">
        <v>13</v>
      </c>
      <c r="Z35">
        <v>10</v>
      </c>
      <c r="AA35">
        <v>1500</v>
      </c>
      <c r="AB35">
        <v>1200</v>
      </c>
      <c r="AC35">
        <v>1200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5</v>
      </c>
      <c r="AL35">
        <v>0</v>
      </c>
      <c r="AM35">
        <v>0</v>
      </c>
      <c r="AN35" t="s">
        <v>59</v>
      </c>
      <c r="AO35">
        <v>1</v>
      </c>
      <c r="AP35" t="s">
        <v>68</v>
      </c>
      <c r="AQ35" t="s">
        <v>65</v>
      </c>
      <c r="AR35">
        <v>0</v>
      </c>
      <c r="AS35">
        <v>3</v>
      </c>
      <c r="AT35">
        <v>0</v>
      </c>
      <c r="AU35">
        <v>0</v>
      </c>
      <c r="AV35">
        <v>100</v>
      </c>
      <c r="AW35" s="1">
        <v>44476</v>
      </c>
      <c r="AX35">
        <v>19900</v>
      </c>
      <c r="AY35">
        <v>145035</v>
      </c>
      <c r="AZ35">
        <v>164900</v>
      </c>
      <c r="BA35">
        <v>215500</v>
      </c>
      <c r="BB35">
        <v>451</v>
      </c>
      <c r="BC35">
        <f>Granger_Sales[[#This Row],[land_extract]]*Lookups!$B$3</f>
        <v>17680.053933043157</v>
      </c>
      <c r="BD35">
        <f>Lookups!$B$2</f>
        <v>29703.559000000001</v>
      </c>
      <c r="BE35">
        <f>VLOOKUP(Granger_Sales[[#This Row],[quality]],Lookups!$H$2:$J$12,3,FALSE)</f>
        <v>34195</v>
      </c>
      <c r="BF35">
        <f>VLOOKUP(Granger_Sales[[#This Row],[condition]],Lookups!$H$17:$J$24,3,FALSE)</f>
        <v>94106</v>
      </c>
      <c r="BG35">
        <f>Granger_Sales[[#This Row],[Age]]*Lookups!$B$16</f>
        <v>-2695.3042999999998</v>
      </c>
      <c r="BH35">
        <f>Granger_Sales[[#This Row],[living_area]]*Lookups!$B$17</f>
        <v>80727.4908</v>
      </c>
      <c r="BI35">
        <f>Granger_Sales[[#This Row],[garage_sqft]]*Lookups!$B$18</f>
        <v>0</v>
      </c>
      <c r="BJ35">
        <f>Granger_Sales[[#This Row],[Patio]]*Lookups!$B$19</f>
        <v>0</v>
      </c>
      <c r="BK35">
        <f>Granger_Sales[[#This Row],[days_prior_to_assessment]]*Lookups!$B$20</f>
        <v>-30289.886109999999</v>
      </c>
      <c r="BL35">
        <f>Granger_Sales[[#This Row],[land_value_1]]</f>
        <v>17680.053933043157</v>
      </c>
      <c r="BM35">
        <f>SUM(Granger_Sales[[#This Row],[Intercept]:[Days_prior_adj]])</f>
        <v>205746.85939000003</v>
      </c>
      <c r="BN35">
        <f>Granger_Sales[[#This Row],[detatched_value]]</f>
        <v>0</v>
      </c>
      <c r="BO35">
        <f>SUM(Granger_Sales[[#This Row],[predicted_land]:[predicted_det]])</f>
        <v>223426.91332304318</v>
      </c>
      <c r="BP35">
        <f>Granger_Sales[[#This Row],[predicted_total]]/Granger_Sales[[#This Row],[sale_price]]</f>
        <v>1.0367838205245623</v>
      </c>
      <c r="BQ35">
        <f>VLOOKUP(Granger_Sales[[#This Row],[quality]],Lookups!$A$25:$C$35,3,FALSE)</f>
        <v>0.98258795897788032</v>
      </c>
      <c r="BR35">
        <f>VLOOKUP(Granger_Sales[[#This Row],[condition]],Lookups!$A$38:$C$45,3,FALSE)</f>
        <v>0.98658583151544277</v>
      </c>
      <c r="BS35">
        <f>VLOOKUP(Granger_Sales[[#This Row],[decade]],Lookups!$G$28:$I$42,3,FALSE)</f>
        <v>0.95532362136731586</v>
      </c>
      <c r="BT35">
        <f>VLOOKUP(Granger_Sales[[#This Row],[living_area_range]],Lookups!$A$48:$C$57,3,FALSE)</f>
        <v>0.97960506760539345</v>
      </c>
      <c r="BU35">
        <f>Granger_Sales[[#This Row],[predicted_land]]</f>
        <v>17680.053933043157</v>
      </c>
      <c r="BV35">
        <f>Granger_Sales[[#This Row],[predicted_res]]*AVERAGE(Granger_Sales[[#This Row],[qual_adj]:[living_range_adj]])</f>
        <v>200814.20597171207</v>
      </c>
      <c r="BW35">
        <f>Granger_Sales[[#This Row],[predicted_det]]</f>
        <v>0</v>
      </c>
      <c r="BX35">
        <f>SUM(Granger_Sales[[#This Row],[final_land]:[final_det]])</f>
        <v>218494.25990475522</v>
      </c>
      <c r="BY35">
        <f>Granger_Sales[[#This Row],[final_total]]/Granger_Sales[[#This Row],[sale_price]]</f>
        <v>1.0138944775162655</v>
      </c>
      <c r="BZ35" s="7">
        <f>(Granger_Sales[[#This Row],[final_total]]-Granger_Sales[[#This Row],[sale_price]])^2</f>
        <v>8965592.3772247471</v>
      </c>
      <c r="CA35" s="7">
        <f>(Granger_Sales[[#This Row],[final_total]]-AVERAGE(Granger_Sales[sale_price]))^2</f>
        <v>1856960009.3291149</v>
      </c>
      <c r="CB35" s="7">
        <f>Granger_Sales[[#This Row],[SSE]]+Granger_Sales[[#This Row],[SSR]]</f>
        <v>1865925601.7063396</v>
      </c>
      <c r="CC35" s="12">
        <f>ABS(Granger_Sales[[#This Row],[final_ratio]]-MEDIAN(Granger_Sales[final_ratio]))</f>
        <v>2.3355693982504366E-2</v>
      </c>
    </row>
    <row r="36" spans="1:81" x14ac:dyDescent="0.25">
      <c r="A36">
        <v>21101641575</v>
      </c>
      <c r="B36">
        <v>0.14000000000000001</v>
      </c>
      <c r="C36">
        <v>6300</v>
      </c>
      <c r="D36">
        <v>0</v>
      </c>
      <c r="E36" t="s">
        <v>54</v>
      </c>
      <c r="F36" t="s">
        <v>54</v>
      </c>
      <c r="G36">
        <v>3</v>
      </c>
      <c r="H36" t="s">
        <v>55</v>
      </c>
      <c r="I36">
        <v>184700</v>
      </c>
      <c r="J36">
        <v>25900</v>
      </c>
      <c r="K36">
        <v>0.14000000000000001</v>
      </c>
      <c r="L36">
        <v>0</v>
      </c>
      <c r="M36">
        <v>0</v>
      </c>
      <c r="N36">
        <v>0</v>
      </c>
      <c r="O36">
        <v>47108.068500000001</v>
      </c>
      <c r="P36">
        <v>122297.704</v>
      </c>
      <c r="Q36">
        <f>(LN(Granger_Sales[[#This Row],[parcel_acres]])*Granger_Sales[[#This Row],[coeff]])+Granger_Sales[[#This Row],[const]]</f>
        <v>29677.924883257932</v>
      </c>
      <c r="R36" t="s">
        <v>69</v>
      </c>
      <c r="S36">
        <v>1</v>
      </c>
      <c r="T36" t="s">
        <v>71</v>
      </c>
      <c r="U36" t="s">
        <v>72</v>
      </c>
      <c r="V36">
        <v>0</v>
      </c>
      <c r="W36">
        <v>0</v>
      </c>
      <c r="X36">
        <v>14</v>
      </c>
      <c r="Y36">
        <v>14</v>
      </c>
      <c r="Z36">
        <v>10</v>
      </c>
      <c r="AA36">
        <v>1500</v>
      </c>
      <c r="AB36">
        <v>1200</v>
      </c>
      <c r="AC36">
        <v>1200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5</v>
      </c>
      <c r="AL36">
        <v>0</v>
      </c>
      <c r="AM36">
        <v>0</v>
      </c>
      <c r="AN36" t="s">
        <v>59</v>
      </c>
      <c r="AO36">
        <v>1</v>
      </c>
      <c r="AP36" t="s">
        <v>68</v>
      </c>
      <c r="AQ36" t="s">
        <v>65</v>
      </c>
      <c r="AR36">
        <v>0</v>
      </c>
      <c r="AS36">
        <v>3</v>
      </c>
      <c r="AT36">
        <v>0</v>
      </c>
      <c r="AU36">
        <v>0</v>
      </c>
      <c r="AV36">
        <v>100</v>
      </c>
      <c r="AW36" s="1">
        <v>44753</v>
      </c>
      <c r="AX36">
        <v>19900</v>
      </c>
      <c r="AY36">
        <v>143524</v>
      </c>
      <c r="AZ36">
        <v>163400</v>
      </c>
      <c r="BA36">
        <v>230000</v>
      </c>
      <c r="BB36">
        <v>174</v>
      </c>
      <c r="BC36">
        <f>Granger_Sales[[#This Row],[land_extract]]*Lookups!$B$3</f>
        <v>17680.053933043157</v>
      </c>
      <c r="BD36">
        <f>Lookups!$B$2</f>
        <v>29703.559000000001</v>
      </c>
      <c r="BE36">
        <f>VLOOKUP(Granger_Sales[[#This Row],[quality]],Lookups!$H$2:$J$12,3,FALSE)</f>
        <v>34195</v>
      </c>
      <c r="BF36">
        <f>VLOOKUP(Granger_Sales[[#This Row],[condition]],Lookups!$H$17:$J$24,3,FALSE)</f>
        <v>94106</v>
      </c>
      <c r="BG36">
        <f>Granger_Sales[[#This Row],[Age]]*Lookups!$B$16</f>
        <v>-2902.6354000000001</v>
      </c>
      <c r="BH36">
        <f>Granger_Sales[[#This Row],[living_area]]*Lookups!$B$17</f>
        <v>80727.4908</v>
      </c>
      <c r="BI36">
        <f>Granger_Sales[[#This Row],[garage_sqft]]*Lookups!$B$18</f>
        <v>0</v>
      </c>
      <c r="BJ36">
        <f>Granger_Sales[[#This Row],[Patio]]*Lookups!$B$19</f>
        <v>0</v>
      </c>
      <c r="BK36">
        <f>Granger_Sales[[#This Row],[days_prior_to_assessment]]*Lookups!$B$20</f>
        <v>-11686.120139999999</v>
      </c>
      <c r="BL36">
        <f>Granger_Sales[[#This Row],[land_value_1]]</f>
        <v>17680.053933043157</v>
      </c>
      <c r="BM36">
        <f>SUM(Granger_Sales[[#This Row],[Intercept]:[Days_prior_adj]])</f>
        <v>224143.29426</v>
      </c>
      <c r="BN36">
        <f>Granger_Sales[[#This Row],[detatched_value]]</f>
        <v>0</v>
      </c>
      <c r="BO36">
        <f>SUM(Granger_Sales[[#This Row],[predicted_land]:[predicted_det]])</f>
        <v>241823.34819304314</v>
      </c>
      <c r="BP36">
        <f>Granger_Sales[[#This Row],[predicted_total]]/Granger_Sales[[#This Row],[sale_price]]</f>
        <v>1.0514058617088833</v>
      </c>
      <c r="BQ36">
        <f>VLOOKUP(Granger_Sales[[#This Row],[quality]],Lookups!$A$25:$C$35,3,FALSE)</f>
        <v>0.98258795897788032</v>
      </c>
      <c r="BR36">
        <f>VLOOKUP(Granger_Sales[[#This Row],[condition]],Lookups!$A$38:$C$45,3,FALSE)</f>
        <v>0.98658583151544277</v>
      </c>
      <c r="BS36">
        <f>VLOOKUP(Granger_Sales[[#This Row],[decade]],Lookups!$G$28:$I$42,3,FALSE)</f>
        <v>0.95532362136731586</v>
      </c>
      <c r="BT36">
        <f>VLOOKUP(Granger_Sales[[#This Row],[living_area_range]],Lookups!$A$48:$C$57,3,FALSE)</f>
        <v>0.97960506760539345</v>
      </c>
      <c r="BU36">
        <f>Granger_Sales[[#This Row],[predicted_land]]</f>
        <v>17680.053933043157</v>
      </c>
      <c r="BV36">
        <f>Granger_Sales[[#This Row],[predicted_res]]*AVERAGE(Granger_Sales[[#This Row],[qual_adj]:[living_range_adj]])</f>
        <v>218769.59771903764</v>
      </c>
      <c r="BW36">
        <f>Granger_Sales[[#This Row],[predicted_det]]</f>
        <v>0</v>
      </c>
      <c r="BX36">
        <f>SUM(Granger_Sales[[#This Row],[final_land]:[final_det]])</f>
        <v>236449.65165208079</v>
      </c>
      <c r="BY36">
        <f>Granger_Sales[[#This Row],[final_total]]/Granger_Sales[[#This Row],[sale_price]]</f>
        <v>1.0280419637046991</v>
      </c>
      <c r="BZ36" s="7">
        <f>(Granger_Sales[[#This Row],[final_total]]-Granger_Sales[[#This Row],[sale_price]])^2</f>
        <v>41598006.433188498</v>
      </c>
      <c r="CA36" s="7">
        <f>(Granger_Sales[[#This Row],[final_total]]-AVERAGE(Granger_Sales[sale_price]))^2</f>
        <v>631872142.28529239</v>
      </c>
      <c r="CB36" s="7">
        <f>Granger_Sales[[#This Row],[SSE]]+Granger_Sales[[#This Row],[SSR]]</f>
        <v>673470148.71848083</v>
      </c>
      <c r="CC36" s="12">
        <f>ABS(Granger_Sales[[#This Row],[final_ratio]]-MEDIAN(Granger_Sales[final_ratio]))</f>
        <v>3.7503180170938011E-2</v>
      </c>
    </row>
    <row r="37" spans="1:81" x14ac:dyDescent="0.25">
      <c r="A37">
        <v>21101531435</v>
      </c>
      <c r="B37">
        <v>0.15</v>
      </c>
      <c r="C37">
        <v>6700</v>
      </c>
      <c r="D37">
        <v>0</v>
      </c>
      <c r="E37" t="s">
        <v>54</v>
      </c>
      <c r="F37" t="s">
        <v>54</v>
      </c>
      <c r="G37">
        <v>3</v>
      </c>
      <c r="H37" t="s">
        <v>55</v>
      </c>
      <c r="I37">
        <v>212400</v>
      </c>
      <c r="J37">
        <v>26300</v>
      </c>
      <c r="K37">
        <v>0.15</v>
      </c>
      <c r="L37">
        <v>0</v>
      </c>
      <c r="M37">
        <v>0</v>
      </c>
      <c r="N37">
        <v>0</v>
      </c>
      <c r="O37">
        <v>47108.068500000001</v>
      </c>
      <c r="P37">
        <v>122297.704</v>
      </c>
      <c r="Q37">
        <f>(LN(Granger_Sales[[#This Row],[parcel_acres]])*Granger_Sales[[#This Row],[coeff]])+Granger_Sales[[#This Row],[const]]</f>
        <v>32928.045799276937</v>
      </c>
      <c r="R37" t="s">
        <v>56</v>
      </c>
      <c r="S37">
        <v>1</v>
      </c>
      <c r="T37" t="s">
        <v>64</v>
      </c>
      <c r="U37" t="s">
        <v>72</v>
      </c>
      <c r="V37">
        <v>0</v>
      </c>
      <c r="W37">
        <v>0</v>
      </c>
      <c r="X37">
        <v>14</v>
      </c>
      <c r="Y37">
        <v>14</v>
      </c>
      <c r="Z37">
        <v>10</v>
      </c>
      <c r="AA37">
        <v>1500</v>
      </c>
      <c r="AB37">
        <v>1104</v>
      </c>
      <c r="AC37">
        <v>1104</v>
      </c>
      <c r="AD37">
        <v>0</v>
      </c>
      <c r="AE37">
        <v>0</v>
      </c>
      <c r="AF37">
        <v>0</v>
      </c>
      <c r="AG37">
        <v>400</v>
      </c>
      <c r="AH37">
        <v>0</v>
      </c>
      <c r="AI37">
        <v>0</v>
      </c>
      <c r="AJ37">
        <v>0</v>
      </c>
      <c r="AK37">
        <v>8</v>
      </c>
      <c r="AL37">
        <v>0</v>
      </c>
      <c r="AM37">
        <v>0</v>
      </c>
      <c r="AN37" t="s">
        <v>59</v>
      </c>
      <c r="AO37">
        <v>1</v>
      </c>
      <c r="AP37" t="s">
        <v>68</v>
      </c>
      <c r="AQ37" t="s">
        <v>65</v>
      </c>
      <c r="AR37">
        <v>0</v>
      </c>
      <c r="AS37">
        <v>3</v>
      </c>
      <c r="AT37">
        <v>0</v>
      </c>
      <c r="AU37">
        <v>0</v>
      </c>
      <c r="AV37">
        <v>100</v>
      </c>
      <c r="AW37" s="1">
        <v>44140</v>
      </c>
      <c r="AX37">
        <v>20200</v>
      </c>
      <c r="AY37">
        <v>166833</v>
      </c>
      <c r="AZ37">
        <v>187000</v>
      </c>
      <c r="BA37">
        <v>225000</v>
      </c>
      <c r="BB37">
        <v>787</v>
      </c>
      <c r="BC37">
        <f>Granger_Sales[[#This Row],[land_extract]]*Lookups!$B$3</f>
        <v>19616.251066439891</v>
      </c>
      <c r="BD37">
        <f>Lookups!$B$2</f>
        <v>29703.559000000001</v>
      </c>
      <c r="BE37">
        <f>VLOOKUP(Granger_Sales[[#This Row],[quality]],Lookups!$H$2:$J$12,3,FALSE)</f>
        <v>36568</v>
      </c>
      <c r="BF37">
        <f>VLOOKUP(Granger_Sales[[#This Row],[condition]],Lookups!$H$17:$J$24,3,FALSE)</f>
        <v>94106</v>
      </c>
      <c r="BG37">
        <f>Granger_Sales[[#This Row],[Age]]*Lookups!$B$16</f>
        <v>-2902.6354000000001</v>
      </c>
      <c r="BH37">
        <f>Granger_Sales[[#This Row],[living_area]]*Lookups!$B$17</f>
        <v>74269.291536000004</v>
      </c>
      <c r="BI37">
        <f>Granger_Sales[[#This Row],[garage_sqft]]*Lookups!$B$18</f>
        <v>19379.0344</v>
      </c>
      <c r="BJ37">
        <f>Granger_Sales[[#This Row],[Patio]]*Lookups!$B$19</f>
        <v>0</v>
      </c>
      <c r="BK37">
        <f>Granger_Sales[[#This Row],[days_prior_to_assessment]]*Lookups!$B$20</f>
        <v>-52856.18707</v>
      </c>
      <c r="BL37">
        <f>Granger_Sales[[#This Row],[land_value_1]]</f>
        <v>19616.251066439891</v>
      </c>
      <c r="BM37">
        <f>SUM(Granger_Sales[[#This Row],[Intercept]:[Days_prior_adj]])</f>
        <v>198267.06246600003</v>
      </c>
      <c r="BN37">
        <f>Granger_Sales[[#This Row],[detatched_value]]</f>
        <v>0</v>
      </c>
      <c r="BO37">
        <f>SUM(Granger_Sales[[#This Row],[predicted_land]:[predicted_det]])</f>
        <v>217883.31353243993</v>
      </c>
      <c r="BP37">
        <f>Granger_Sales[[#This Row],[predicted_total]]/Granger_Sales[[#This Row],[sale_price]]</f>
        <v>0.96837028236639966</v>
      </c>
      <c r="BQ37">
        <f>VLOOKUP(Granger_Sales[[#This Row],[quality]],Lookups!$A$25:$C$35,3,FALSE)</f>
        <v>0.99049976351917957</v>
      </c>
      <c r="BR37">
        <f>VLOOKUP(Granger_Sales[[#This Row],[condition]],Lookups!$A$38:$C$45,3,FALSE)</f>
        <v>0.98658583151544277</v>
      </c>
      <c r="BS37">
        <f>VLOOKUP(Granger_Sales[[#This Row],[decade]],Lookups!$G$28:$I$42,3,FALSE)</f>
        <v>0.95532362136731586</v>
      </c>
      <c r="BT37">
        <f>VLOOKUP(Granger_Sales[[#This Row],[living_area_range]],Lookups!$A$48:$C$57,3,FALSE)</f>
        <v>0.97960506760539345</v>
      </c>
      <c r="BU37">
        <f>Granger_Sales[[#This Row],[predicted_land]]</f>
        <v>19616.251066439891</v>
      </c>
      <c r="BV37">
        <f>Granger_Sales[[#This Row],[predicted_res]]*AVERAGE(Granger_Sales[[#This Row],[qual_adj]:[living_range_adj]])</f>
        <v>193905.8951037915</v>
      </c>
      <c r="BW37">
        <f>Granger_Sales[[#This Row],[predicted_det]]</f>
        <v>0</v>
      </c>
      <c r="BX37">
        <f>SUM(Granger_Sales[[#This Row],[final_land]:[final_det]])</f>
        <v>213522.1461702314</v>
      </c>
      <c r="BY37">
        <f>Granger_Sales[[#This Row],[final_total]]/Granger_Sales[[#This Row],[sale_price]]</f>
        <v>0.94898731631213951</v>
      </c>
      <c r="BZ37" s="7">
        <f>(Granger_Sales[[#This Row],[final_total]]-Granger_Sales[[#This Row],[sale_price]])^2</f>
        <v>131741128.53753377</v>
      </c>
      <c r="CA37" s="7">
        <f>(Granger_Sales[[#This Row],[final_total]]-AVERAGE(Granger_Sales[sale_price]))^2</f>
        <v>2310203137.2758436</v>
      </c>
      <c r="CB37" s="7">
        <f>Granger_Sales[[#This Row],[SSE]]+Granger_Sales[[#This Row],[SSR]]</f>
        <v>2441944265.8133774</v>
      </c>
      <c r="CC37" s="12">
        <f>ABS(Granger_Sales[[#This Row],[final_ratio]]-MEDIAN(Granger_Sales[final_ratio]))</f>
        <v>4.1551467221621619E-2</v>
      </c>
    </row>
    <row r="38" spans="1:81" x14ac:dyDescent="0.25">
      <c r="A38">
        <v>21101641515</v>
      </c>
      <c r="B38">
        <v>0.14000000000000001</v>
      </c>
      <c r="C38">
        <v>6100</v>
      </c>
      <c r="D38">
        <v>0</v>
      </c>
      <c r="E38" t="s">
        <v>54</v>
      </c>
      <c r="F38" t="s">
        <v>54</v>
      </c>
      <c r="G38">
        <v>3</v>
      </c>
      <c r="H38" t="s">
        <v>55</v>
      </c>
      <c r="I38">
        <v>191200</v>
      </c>
      <c r="J38">
        <v>25900</v>
      </c>
      <c r="K38">
        <v>0.14000000000000001</v>
      </c>
      <c r="L38">
        <v>0</v>
      </c>
      <c r="M38">
        <v>0</v>
      </c>
      <c r="N38">
        <v>0</v>
      </c>
      <c r="O38">
        <v>47108.068500000001</v>
      </c>
      <c r="P38">
        <v>122297.704</v>
      </c>
      <c r="Q38">
        <f>(LN(Granger_Sales[[#This Row],[parcel_acres]])*Granger_Sales[[#This Row],[coeff]])+Granger_Sales[[#This Row],[const]]</f>
        <v>29677.924883257932</v>
      </c>
      <c r="R38" t="s">
        <v>56</v>
      </c>
      <c r="S38">
        <v>1</v>
      </c>
      <c r="T38" t="s">
        <v>64</v>
      </c>
      <c r="U38" t="s">
        <v>72</v>
      </c>
      <c r="V38">
        <v>0</v>
      </c>
      <c r="W38">
        <v>0</v>
      </c>
      <c r="X38">
        <v>15</v>
      </c>
      <c r="Y38">
        <v>15</v>
      </c>
      <c r="Z38">
        <v>20</v>
      </c>
      <c r="AA38">
        <v>1500</v>
      </c>
      <c r="AB38">
        <v>1200</v>
      </c>
      <c r="AC38">
        <v>1200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8</v>
      </c>
      <c r="AL38">
        <v>0</v>
      </c>
      <c r="AM38">
        <v>0</v>
      </c>
      <c r="AN38" t="s">
        <v>59</v>
      </c>
      <c r="AO38">
        <v>1</v>
      </c>
      <c r="AP38" t="s">
        <v>63</v>
      </c>
      <c r="AQ38" t="s">
        <v>65</v>
      </c>
      <c r="AR38">
        <v>1</v>
      </c>
      <c r="AS38">
        <v>3</v>
      </c>
      <c r="AT38">
        <v>0</v>
      </c>
      <c r="AU38">
        <v>0</v>
      </c>
      <c r="AV38">
        <v>100</v>
      </c>
      <c r="AW38" s="1">
        <v>44643</v>
      </c>
      <c r="AX38">
        <v>19700</v>
      </c>
      <c r="AY38">
        <v>168106</v>
      </c>
      <c r="AZ38">
        <v>187800</v>
      </c>
      <c r="BA38">
        <v>275000</v>
      </c>
      <c r="BB38">
        <v>284</v>
      </c>
      <c r="BC38">
        <f>Granger_Sales[[#This Row],[land_extract]]*Lookups!$B$3</f>
        <v>17680.053933043157</v>
      </c>
      <c r="BD38">
        <f>Lookups!$B$2</f>
        <v>29703.559000000001</v>
      </c>
      <c r="BE38">
        <f>VLOOKUP(Granger_Sales[[#This Row],[quality]],Lookups!$H$2:$J$12,3,FALSE)</f>
        <v>36568</v>
      </c>
      <c r="BF38">
        <f>VLOOKUP(Granger_Sales[[#This Row],[condition]],Lookups!$H$17:$J$24,3,FALSE)</f>
        <v>94106</v>
      </c>
      <c r="BG38">
        <f>Granger_Sales[[#This Row],[Age]]*Lookups!$B$16</f>
        <v>-3109.9665</v>
      </c>
      <c r="BH38">
        <f>Granger_Sales[[#This Row],[living_area]]*Lookups!$B$17</f>
        <v>80727.4908</v>
      </c>
      <c r="BI38">
        <f>Granger_Sales[[#This Row],[garage_sqft]]*Lookups!$B$18</f>
        <v>0</v>
      </c>
      <c r="BJ38">
        <f>Granger_Sales[[#This Row],[Patio]]*Lookups!$B$19</f>
        <v>0</v>
      </c>
      <c r="BK38">
        <f>Granger_Sales[[#This Row],[days_prior_to_assessment]]*Lookups!$B$20</f>
        <v>-19073.897239999998</v>
      </c>
      <c r="BL38">
        <f>Granger_Sales[[#This Row],[land_value_1]]</f>
        <v>17680.053933043157</v>
      </c>
      <c r="BM38">
        <f>SUM(Granger_Sales[[#This Row],[Intercept]:[Days_prior_adj]])</f>
        <v>218921.18606000001</v>
      </c>
      <c r="BN38">
        <f>Granger_Sales[[#This Row],[detatched_value]]</f>
        <v>0</v>
      </c>
      <c r="BO38">
        <f>SUM(Granger_Sales[[#This Row],[predicted_land]:[predicted_det]])</f>
        <v>236601.23999304316</v>
      </c>
      <c r="BP38">
        <f>Granger_Sales[[#This Row],[predicted_total]]/Granger_Sales[[#This Row],[sale_price]]</f>
        <v>0.86036814542924789</v>
      </c>
      <c r="BQ38">
        <f>VLOOKUP(Granger_Sales[[#This Row],[quality]],Lookups!$A$25:$C$35,3,FALSE)</f>
        <v>0.99049976351917957</v>
      </c>
      <c r="BR38">
        <f>VLOOKUP(Granger_Sales[[#This Row],[condition]],Lookups!$A$38:$C$45,3,FALSE)</f>
        <v>0.98658583151544277</v>
      </c>
      <c r="BS38">
        <f>VLOOKUP(Granger_Sales[[#This Row],[decade]],Lookups!$G$28:$I$42,3,FALSE)</f>
        <v>1.0159161060824455</v>
      </c>
      <c r="BT38">
        <f>VLOOKUP(Granger_Sales[[#This Row],[living_area_range]],Lookups!$A$48:$C$57,3,FALSE)</f>
        <v>0.97960506760539345</v>
      </c>
      <c r="BU38">
        <f>Granger_Sales[[#This Row],[predicted_land]]</f>
        <v>17680.053933043157</v>
      </c>
      <c r="BV38">
        <f>Granger_Sales[[#This Row],[predicted_res]]*AVERAGE(Granger_Sales[[#This Row],[qual_adj]:[living_range_adj]])</f>
        <v>217421.94638967636</v>
      </c>
      <c r="BW38">
        <f>Granger_Sales[[#This Row],[predicted_det]]</f>
        <v>0</v>
      </c>
      <c r="BX38">
        <f>SUM(Granger_Sales[[#This Row],[final_land]:[final_det]])</f>
        <v>235102.00032271951</v>
      </c>
      <c r="BY38">
        <f>Granger_Sales[[#This Row],[final_total]]/Granger_Sales[[#This Row],[sale_price]]</f>
        <v>0.85491636480988908</v>
      </c>
      <c r="BZ38" s="7">
        <f>(Granger_Sales[[#This Row],[final_total]]-Granger_Sales[[#This Row],[sale_price]])^2</f>
        <v>1591850378.2482738</v>
      </c>
      <c r="CA38" s="7">
        <f>(Granger_Sales[[#This Row],[final_total]]-AVERAGE(Granger_Sales[sale_price]))^2</f>
        <v>701440310.17233062</v>
      </c>
      <c r="CB38" s="7">
        <f>Granger_Sales[[#This Row],[SSE]]+Granger_Sales[[#This Row],[SSR]]</f>
        <v>2293290688.4206047</v>
      </c>
      <c r="CC38" s="12">
        <f>ABS(Granger_Sales[[#This Row],[final_ratio]]-MEDIAN(Granger_Sales[final_ratio]))</f>
        <v>0.13562241872387204</v>
      </c>
    </row>
    <row r="39" spans="1:81" x14ac:dyDescent="0.25">
      <c r="A39">
        <v>21101641547</v>
      </c>
      <c r="B39">
        <v>0.14000000000000001</v>
      </c>
      <c r="C39">
        <v>6009</v>
      </c>
      <c r="D39">
        <v>0</v>
      </c>
      <c r="E39" t="s">
        <v>54</v>
      </c>
      <c r="F39" t="s">
        <v>54</v>
      </c>
      <c r="G39">
        <v>3</v>
      </c>
      <c r="H39" t="s">
        <v>55</v>
      </c>
      <c r="I39">
        <v>218400</v>
      </c>
      <c r="J39">
        <v>25900</v>
      </c>
      <c r="K39">
        <v>0.14000000000000001</v>
      </c>
      <c r="L39">
        <v>0</v>
      </c>
      <c r="M39">
        <v>0</v>
      </c>
      <c r="N39">
        <v>0</v>
      </c>
      <c r="O39">
        <v>47108.068500000001</v>
      </c>
      <c r="P39">
        <v>122297.704</v>
      </c>
      <c r="Q39">
        <f>(LN(Granger_Sales[[#This Row],[parcel_acres]])*Granger_Sales[[#This Row],[coeff]])+Granger_Sales[[#This Row],[const]]</f>
        <v>29677.924883257932</v>
      </c>
      <c r="R39" t="s">
        <v>69</v>
      </c>
      <c r="S39">
        <v>1</v>
      </c>
      <c r="T39" t="s">
        <v>64</v>
      </c>
      <c r="U39" t="s">
        <v>72</v>
      </c>
      <c r="V39">
        <v>0</v>
      </c>
      <c r="W39">
        <v>0</v>
      </c>
      <c r="X39">
        <v>16</v>
      </c>
      <c r="Y39">
        <v>16</v>
      </c>
      <c r="Z39">
        <v>20</v>
      </c>
      <c r="AA39">
        <v>1500</v>
      </c>
      <c r="AB39">
        <v>1192</v>
      </c>
      <c r="AC39">
        <v>1192</v>
      </c>
      <c r="AD39">
        <v>0</v>
      </c>
      <c r="AE39">
        <v>0</v>
      </c>
      <c r="AF39">
        <v>0</v>
      </c>
      <c r="AG39">
        <v>264</v>
      </c>
      <c r="AH39">
        <v>0</v>
      </c>
      <c r="AI39">
        <v>0</v>
      </c>
      <c r="AJ39">
        <v>0</v>
      </c>
      <c r="AK39">
        <v>8</v>
      </c>
      <c r="AL39">
        <v>0</v>
      </c>
      <c r="AM39">
        <v>0</v>
      </c>
      <c r="AN39" t="s">
        <v>59</v>
      </c>
      <c r="AO39">
        <v>1</v>
      </c>
      <c r="AP39" t="s">
        <v>63</v>
      </c>
      <c r="AQ39" t="s">
        <v>65</v>
      </c>
      <c r="AR39">
        <v>1</v>
      </c>
      <c r="AS39">
        <v>3</v>
      </c>
      <c r="AT39">
        <v>0</v>
      </c>
      <c r="AU39">
        <v>0</v>
      </c>
      <c r="AV39">
        <v>100</v>
      </c>
      <c r="AW39" s="1">
        <v>44721</v>
      </c>
      <c r="AX39">
        <v>19600</v>
      </c>
      <c r="AY39">
        <v>174564</v>
      </c>
      <c r="AZ39">
        <v>194200</v>
      </c>
      <c r="BA39">
        <v>225000</v>
      </c>
      <c r="BB39">
        <v>206</v>
      </c>
      <c r="BC39">
        <f>Granger_Sales[[#This Row],[land_extract]]*Lookups!$B$3</f>
        <v>17680.053933043157</v>
      </c>
      <c r="BD39">
        <f>Lookups!$B$2</f>
        <v>29703.559000000001</v>
      </c>
      <c r="BE39">
        <f>VLOOKUP(Granger_Sales[[#This Row],[quality]],Lookups!$H$2:$J$12,3,FALSE)</f>
        <v>36568</v>
      </c>
      <c r="BF39">
        <f>VLOOKUP(Granger_Sales[[#This Row],[condition]],Lookups!$H$17:$J$24,3,FALSE)</f>
        <v>94106</v>
      </c>
      <c r="BG39">
        <f>Granger_Sales[[#This Row],[Age]]*Lookups!$B$16</f>
        <v>-3317.2975999999999</v>
      </c>
      <c r="BH39">
        <f>Granger_Sales[[#This Row],[living_area]]*Lookups!$B$17</f>
        <v>80189.307528000005</v>
      </c>
      <c r="BI39">
        <f>Granger_Sales[[#This Row],[garage_sqft]]*Lookups!$B$18</f>
        <v>12790.162704</v>
      </c>
      <c r="BJ39">
        <f>Granger_Sales[[#This Row],[Patio]]*Lookups!$B$19</f>
        <v>0</v>
      </c>
      <c r="BK39">
        <f>Granger_Sales[[#This Row],[days_prior_to_assessment]]*Lookups!$B$20</f>
        <v>-13835.291659999999</v>
      </c>
      <c r="BL39">
        <f>Granger_Sales[[#This Row],[land_value_1]]</f>
        <v>17680.053933043157</v>
      </c>
      <c r="BM39">
        <f>SUM(Granger_Sales[[#This Row],[Intercept]:[Days_prior_adj]])</f>
        <v>236204.43997200002</v>
      </c>
      <c r="BN39">
        <f>Granger_Sales[[#This Row],[detatched_value]]</f>
        <v>0</v>
      </c>
      <c r="BO39">
        <f>SUM(Granger_Sales[[#This Row],[predicted_land]:[predicted_det]])</f>
        <v>253884.49390504317</v>
      </c>
      <c r="BP39">
        <f>Granger_Sales[[#This Row],[predicted_total]]/Granger_Sales[[#This Row],[sale_price]]</f>
        <v>1.1283755284668586</v>
      </c>
      <c r="BQ39">
        <f>VLOOKUP(Granger_Sales[[#This Row],[quality]],Lookups!$A$25:$C$35,3,FALSE)</f>
        <v>0.99049976351917957</v>
      </c>
      <c r="BR39">
        <f>VLOOKUP(Granger_Sales[[#This Row],[condition]],Lookups!$A$38:$C$45,3,FALSE)</f>
        <v>0.98658583151544277</v>
      </c>
      <c r="BS39">
        <f>VLOOKUP(Granger_Sales[[#This Row],[decade]],Lookups!$G$28:$I$42,3,FALSE)</f>
        <v>1.0159161060824455</v>
      </c>
      <c r="BT39">
        <f>VLOOKUP(Granger_Sales[[#This Row],[living_area_range]],Lookups!$A$48:$C$57,3,FALSE)</f>
        <v>0.97960506760539345</v>
      </c>
      <c r="BU39">
        <f>Granger_Sales[[#This Row],[predicted_land]]</f>
        <v>17680.053933043157</v>
      </c>
      <c r="BV39">
        <f>Granger_Sales[[#This Row],[predicted_res]]*AVERAGE(Granger_Sales[[#This Row],[qual_adj]:[living_range_adj]])</f>
        <v>234586.83925876641</v>
      </c>
      <c r="BW39">
        <f>Granger_Sales[[#This Row],[predicted_det]]</f>
        <v>0</v>
      </c>
      <c r="BX39">
        <f>SUM(Granger_Sales[[#This Row],[final_land]:[final_det]])</f>
        <v>252266.89319180956</v>
      </c>
      <c r="BY39">
        <f>Granger_Sales[[#This Row],[final_total]]/Granger_Sales[[#This Row],[sale_price]]</f>
        <v>1.1211861919635981</v>
      </c>
      <c r="BZ39" s="7">
        <f>(Granger_Sales[[#This Row],[final_total]]-Granger_Sales[[#This Row],[sale_price]])^2</f>
        <v>743483464.33355069</v>
      </c>
      <c r="CA39" s="7">
        <f>(Granger_Sales[[#This Row],[final_total]]-AVERAGE(Granger_Sales[sale_price]))^2</f>
        <v>86859148.435099706</v>
      </c>
      <c r="CB39" s="7">
        <f>Granger_Sales[[#This Row],[SSE]]+Granger_Sales[[#This Row],[SSR]]</f>
        <v>830342612.76865041</v>
      </c>
      <c r="CC39" s="12">
        <f>ABS(Granger_Sales[[#This Row],[final_ratio]]-MEDIAN(Granger_Sales[final_ratio]))</f>
        <v>0.13064740842983702</v>
      </c>
    </row>
    <row r="40" spans="1:81" x14ac:dyDescent="0.25">
      <c r="A40">
        <v>21101641541</v>
      </c>
      <c r="B40">
        <v>0.14000000000000001</v>
      </c>
      <c r="C40">
        <v>6043</v>
      </c>
      <c r="D40">
        <v>0</v>
      </c>
      <c r="E40" t="s">
        <v>54</v>
      </c>
      <c r="F40" t="s">
        <v>54</v>
      </c>
      <c r="G40">
        <v>3</v>
      </c>
      <c r="H40" t="s">
        <v>55</v>
      </c>
      <c r="I40">
        <v>268600</v>
      </c>
      <c r="J40">
        <v>25900</v>
      </c>
      <c r="K40">
        <v>0.14000000000000001</v>
      </c>
      <c r="L40">
        <v>0</v>
      </c>
      <c r="M40">
        <v>0</v>
      </c>
      <c r="N40">
        <v>0</v>
      </c>
      <c r="O40">
        <v>47108.068500000001</v>
      </c>
      <c r="P40">
        <v>122297.704</v>
      </c>
      <c r="Q40">
        <f>(LN(Granger_Sales[[#This Row],[parcel_acres]])*Granger_Sales[[#This Row],[coeff]])+Granger_Sales[[#This Row],[const]]</f>
        <v>29677.924883257932</v>
      </c>
      <c r="R40" t="s">
        <v>69</v>
      </c>
      <c r="S40">
        <v>1</v>
      </c>
      <c r="T40" t="s">
        <v>64</v>
      </c>
      <c r="U40" t="s">
        <v>72</v>
      </c>
      <c r="V40">
        <v>0</v>
      </c>
      <c r="W40">
        <v>0</v>
      </c>
      <c r="X40">
        <v>17</v>
      </c>
      <c r="Y40">
        <v>17</v>
      </c>
      <c r="Z40">
        <v>20</v>
      </c>
      <c r="AA40">
        <v>1500</v>
      </c>
      <c r="AB40">
        <v>1482</v>
      </c>
      <c r="AC40">
        <v>1482</v>
      </c>
      <c r="AD40">
        <v>0</v>
      </c>
      <c r="AE40">
        <v>0</v>
      </c>
      <c r="AF40">
        <v>0</v>
      </c>
      <c r="AG40">
        <v>264</v>
      </c>
      <c r="AH40">
        <v>0</v>
      </c>
      <c r="AI40">
        <v>0</v>
      </c>
      <c r="AJ40">
        <v>0</v>
      </c>
      <c r="AK40">
        <v>8</v>
      </c>
      <c r="AL40">
        <v>0</v>
      </c>
      <c r="AM40">
        <v>0</v>
      </c>
      <c r="AN40" t="s">
        <v>59</v>
      </c>
      <c r="AO40">
        <v>1</v>
      </c>
      <c r="AP40" t="s">
        <v>63</v>
      </c>
      <c r="AQ40" t="s">
        <v>65</v>
      </c>
      <c r="AR40">
        <v>1</v>
      </c>
      <c r="AS40">
        <v>4</v>
      </c>
      <c r="AT40">
        <v>0</v>
      </c>
      <c r="AU40">
        <v>0</v>
      </c>
      <c r="AV40">
        <v>100</v>
      </c>
      <c r="AW40" s="1">
        <v>44029</v>
      </c>
      <c r="AX40">
        <v>19700</v>
      </c>
      <c r="AY40">
        <v>210047</v>
      </c>
      <c r="AZ40">
        <v>229700</v>
      </c>
      <c r="BA40">
        <v>225000</v>
      </c>
      <c r="BB40">
        <v>898</v>
      </c>
      <c r="BC40">
        <f>Granger_Sales[[#This Row],[land_extract]]*Lookups!$B$3</f>
        <v>17680.053933043157</v>
      </c>
      <c r="BD40">
        <f>Lookups!$B$2</f>
        <v>29703.559000000001</v>
      </c>
      <c r="BE40">
        <f>VLOOKUP(Granger_Sales[[#This Row],[quality]],Lookups!$H$2:$J$12,3,FALSE)</f>
        <v>36568</v>
      </c>
      <c r="BF40">
        <f>VLOOKUP(Granger_Sales[[#This Row],[condition]],Lookups!$H$17:$J$24,3,FALSE)</f>
        <v>94106</v>
      </c>
      <c r="BG40">
        <f>Granger_Sales[[#This Row],[Age]]*Lookups!$B$16</f>
        <v>-3524.6286999999998</v>
      </c>
      <c r="BH40">
        <f>Granger_Sales[[#This Row],[living_area]]*Lookups!$B$17</f>
        <v>99698.451138000004</v>
      </c>
      <c r="BI40">
        <f>Granger_Sales[[#This Row],[garage_sqft]]*Lookups!$B$18</f>
        <v>12790.162704</v>
      </c>
      <c r="BJ40">
        <f>Granger_Sales[[#This Row],[Patio]]*Lookups!$B$19</f>
        <v>0</v>
      </c>
      <c r="BK40">
        <f>Granger_Sales[[#This Row],[days_prior_to_assessment]]*Lookups!$B$20</f>
        <v>-60311.125779999995</v>
      </c>
      <c r="BL40">
        <f>Granger_Sales[[#This Row],[land_value_1]]</f>
        <v>17680.053933043157</v>
      </c>
      <c r="BM40">
        <f>SUM(Granger_Sales[[#This Row],[Intercept]:[Days_prior_adj]])</f>
        <v>209030.41836200003</v>
      </c>
      <c r="BN40">
        <f>Granger_Sales[[#This Row],[detatched_value]]</f>
        <v>0</v>
      </c>
      <c r="BO40">
        <f>SUM(Granger_Sales[[#This Row],[predicted_land]:[predicted_det]])</f>
        <v>226710.47229504318</v>
      </c>
      <c r="BP40">
        <f>Granger_Sales[[#This Row],[predicted_total]]/Granger_Sales[[#This Row],[sale_price]]</f>
        <v>1.0076020990890808</v>
      </c>
      <c r="BQ40">
        <f>VLOOKUP(Granger_Sales[[#This Row],[quality]],Lookups!$A$25:$C$35,3,FALSE)</f>
        <v>0.99049976351917957</v>
      </c>
      <c r="BR40">
        <f>VLOOKUP(Granger_Sales[[#This Row],[condition]],Lookups!$A$38:$C$45,3,FALSE)</f>
        <v>0.98658583151544277</v>
      </c>
      <c r="BS40">
        <f>VLOOKUP(Granger_Sales[[#This Row],[decade]],Lookups!$G$28:$I$42,3,FALSE)</f>
        <v>1.0159161060824455</v>
      </c>
      <c r="BT40">
        <f>VLOOKUP(Granger_Sales[[#This Row],[living_area_range]],Lookups!$A$48:$C$57,3,FALSE)</f>
        <v>0.97960506760539345</v>
      </c>
      <c r="BU40">
        <f>Granger_Sales[[#This Row],[predicted_land]]</f>
        <v>17680.053933043157</v>
      </c>
      <c r="BV40">
        <f>Granger_Sales[[#This Row],[predicted_res]]*AVERAGE(Granger_Sales[[#This Row],[qual_adj]:[living_range_adj]])</f>
        <v>207598.91371344231</v>
      </c>
      <c r="BW40">
        <f>Granger_Sales[[#This Row],[predicted_det]]</f>
        <v>0</v>
      </c>
      <c r="BX40">
        <f>SUM(Granger_Sales[[#This Row],[final_land]:[final_det]])</f>
        <v>225278.96764648546</v>
      </c>
      <c r="BY40">
        <f>Granger_Sales[[#This Row],[final_total]]/Granger_Sales[[#This Row],[sale_price]]</f>
        <v>1.0012398562066021</v>
      </c>
      <c r="BZ40" s="7">
        <f>(Granger_Sales[[#This Row],[final_total]]-Granger_Sales[[#This Row],[sale_price]])^2</f>
        <v>77822.947785634635</v>
      </c>
      <c r="CA40" s="7">
        <f>(Granger_Sales[[#This Row],[final_total]]-AVERAGE(Granger_Sales[sale_price]))^2</f>
        <v>1318252790.1947615</v>
      </c>
      <c r="CB40" s="7">
        <f>Granger_Sales[[#This Row],[SSE]]+Granger_Sales[[#This Row],[SSR]]</f>
        <v>1318330613.1425471</v>
      </c>
      <c r="CC40" s="12">
        <f>ABS(Granger_Sales[[#This Row],[final_ratio]]-MEDIAN(Granger_Sales[final_ratio]))</f>
        <v>1.0701072672840928E-2</v>
      </c>
    </row>
    <row r="41" spans="1:81" x14ac:dyDescent="0.25">
      <c r="A41">
        <v>21101531403</v>
      </c>
      <c r="B41">
        <v>0.2</v>
      </c>
      <c r="C41">
        <v>8764</v>
      </c>
      <c r="D41">
        <v>0</v>
      </c>
      <c r="E41" t="s">
        <v>54</v>
      </c>
      <c r="F41" t="s">
        <v>54</v>
      </c>
      <c r="G41">
        <v>3</v>
      </c>
      <c r="H41" t="s">
        <v>55</v>
      </c>
      <c r="I41">
        <v>221500</v>
      </c>
      <c r="J41">
        <v>28000</v>
      </c>
      <c r="K41">
        <v>0.2</v>
      </c>
      <c r="L41">
        <v>0</v>
      </c>
      <c r="M41">
        <v>0</v>
      </c>
      <c r="N41">
        <v>0</v>
      </c>
      <c r="O41">
        <v>47108.068500000001</v>
      </c>
      <c r="P41">
        <v>122297.704</v>
      </c>
      <c r="Q41">
        <f>(LN(Granger_Sales[[#This Row],[parcel_acres]])*Granger_Sales[[#This Row],[coeff]])+Granger_Sales[[#This Row],[const]]</f>
        <v>46480.192574557397</v>
      </c>
      <c r="R41" t="s">
        <v>56</v>
      </c>
      <c r="S41">
        <v>1</v>
      </c>
      <c r="T41" t="s">
        <v>57</v>
      </c>
      <c r="U41" t="s">
        <v>72</v>
      </c>
      <c r="V41">
        <v>0</v>
      </c>
      <c r="W41">
        <v>0</v>
      </c>
      <c r="X41">
        <v>18</v>
      </c>
      <c r="Y41">
        <v>18</v>
      </c>
      <c r="Z41">
        <v>20</v>
      </c>
      <c r="AA41">
        <v>1500</v>
      </c>
      <c r="AB41">
        <v>1092</v>
      </c>
      <c r="AC41">
        <v>1092</v>
      </c>
      <c r="AD41">
        <v>0</v>
      </c>
      <c r="AE41">
        <v>0</v>
      </c>
      <c r="AF41">
        <v>0</v>
      </c>
      <c r="AG41">
        <v>273</v>
      </c>
      <c r="AH41">
        <v>0</v>
      </c>
      <c r="AI41">
        <v>0</v>
      </c>
      <c r="AJ41">
        <v>0</v>
      </c>
      <c r="AK41">
        <v>8</v>
      </c>
      <c r="AL41">
        <v>0</v>
      </c>
      <c r="AM41">
        <v>0</v>
      </c>
      <c r="AN41" t="s">
        <v>59</v>
      </c>
      <c r="AO41">
        <v>1</v>
      </c>
      <c r="AP41" t="s">
        <v>63</v>
      </c>
      <c r="AQ41" t="s">
        <v>65</v>
      </c>
      <c r="AR41">
        <v>1</v>
      </c>
      <c r="AS41">
        <v>3</v>
      </c>
      <c r="AT41">
        <v>0</v>
      </c>
      <c r="AU41">
        <v>0</v>
      </c>
      <c r="AV41">
        <v>100</v>
      </c>
      <c r="AW41" s="1">
        <v>44477</v>
      </c>
      <c r="AX41">
        <v>21400</v>
      </c>
      <c r="AY41">
        <v>187229</v>
      </c>
      <c r="AZ41">
        <v>208600</v>
      </c>
      <c r="BA41">
        <v>287000</v>
      </c>
      <c r="BB41">
        <v>450</v>
      </c>
      <c r="BC41">
        <f>Granger_Sales[[#This Row],[land_extract]]*Lookups!$B$3</f>
        <v>27689.682306595139</v>
      </c>
      <c r="BD41">
        <f>Lookups!$B$2</f>
        <v>29703.559000000001</v>
      </c>
      <c r="BE41">
        <f>VLOOKUP(Granger_Sales[[#This Row],[quality]],Lookups!$H$2:$J$12,3,FALSE)</f>
        <v>56414</v>
      </c>
      <c r="BF41">
        <f>VLOOKUP(Granger_Sales[[#This Row],[condition]],Lookups!$H$17:$J$24,3,FALSE)</f>
        <v>94106</v>
      </c>
      <c r="BG41">
        <f>Granger_Sales[[#This Row],[Age]]*Lookups!$B$16</f>
        <v>-3731.9597999999996</v>
      </c>
      <c r="BH41">
        <f>Granger_Sales[[#This Row],[living_area]]*Lookups!$B$17</f>
        <v>73462.016627999998</v>
      </c>
      <c r="BI41">
        <f>Granger_Sales[[#This Row],[garage_sqft]]*Lookups!$B$18</f>
        <v>13226.190978000001</v>
      </c>
      <c r="BJ41">
        <f>Granger_Sales[[#This Row],[Patio]]*Lookups!$B$19</f>
        <v>0</v>
      </c>
      <c r="BK41">
        <f>Granger_Sales[[#This Row],[days_prior_to_assessment]]*Lookups!$B$20</f>
        <v>-30222.724499999997</v>
      </c>
      <c r="BL41">
        <f>Granger_Sales[[#This Row],[land_value_1]]</f>
        <v>27689.682306595139</v>
      </c>
      <c r="BM41">
        <f>SUM(Granger_Sales[[#This Row],[Intercept]:[Days_prior_adj]])</f>
        <v>232957.082306</v>
      </c>
      <c r="BN41">
        <f>Granger_Sales[[#This Row],[detatched_value]]</f>
        <v>0</v>
      </c>
      <c r="BO41">
        <f>SUM(Granger_Sales[[#This Row],[predicted_land]:[predicted_det]])</f>
        <v>260646.76461259514</v>
      </c>
      <c r="BP41">
        <f>Granger_Sales[[#This Row],[predicted_total]]/Granger_Sales[[#This Row],[sale_price]]</f>
        <v>0.90817688018325837</v>
      </c>
      <c r="BQ41">
        <f>VLOOKUP(Granger_Sales[[#This Row],[quality]],Lookups!$A$25:$C$35,3,FALSE)</f>
        <v>0.98791809110152173</v>
      </c>
      <c r="BR41">
        <f>VLOOKUP(Granger_Sales[[#This Row],[condition]],Lookups!$A$38:$C$45,3,FALSE)</f>
        <v>0.98658583151544277</v>
      </c>
      <c r="BS41">
        <f>VLOOKUP(Granger_Sales[[#This Row],[decade]],Lookups!$G$28:$I$42,3,FALSE)</f>
        <v>1.0159161060824455</v>
      </c>
      <c r="BT41">
        <f>VLOOKUP(Granger_Sales[[#This Row],[living_area_range]],Lookups!$A$48:$C$57,3,FALSE)</f>
        <v>0.97960506760539345</v>
      </c>
      <c r="BU41">
        <f>Granger_Sales[[#This Row],[predicted_land]]</f>
        <v>27689.682306595139</v>
      </c>
      <c r="BV41">
        <f>Granger_Sales[[#This Row],[predicted_res]]*AVERAGE(Granger_Sales[[#This Row],[qual_adj]:[living_range_adj]])</f>
        <v>231211.36577919094</v>
      </c>
      <c r="BW41">
        <f>Granger_Sales[[#This Row],[predicted_det]]</f>
        <v>0</v>
      </c>
      <c r="BX41">
        <f>SUM(Granger_Sales[[#This Row],[final_land]:[final_det]])</f>
        <v>258901.04808578608</v>
      </c>
      <c r="BY41">
        <f>Granger_Sales[[#This Row],[final_total]]/Granger_Sales[[#This Row],[sale_price]]</f>
        <v>0.90209424420134521</v>
      </c>
      <c r="BZ41" s="7">
        <f>(Granger_Sales[[#This Row],[final_total]]-Granger_Sales[[#This Row],[sale_price]])^2</f>
        <v>789551098.67730606</v>
      </c>
      <c r="CA41" s="7">
        <f>(Granger_Sales[[#This Row],[final_total]]-AVERAGE(Granger_Sales[sale_price]))^2</f>
        <v>7212826.9166192273</v>
      </c>
      <c r="CB41" s="7">
        <f>Granger_Sales[[#This Row],[SSE]]+Granger_Sales[[#This Row],[SSR]]</f>
        <v>796763925.59392524</v>
      </c>
      <c r="CC41" s="12">
        <f>ABS(Granger_Sales[[#This Row],[final_ratio]]-MEDIAN(Granger_Sales[final_ratio]))</f>
        <v>8.8444539332415917E-2</v>
      </c>
    </row>
    <row r="42" spans="1:81" x14ac:dyDescent="0.25">
      <c r="A42">
        <v>21102231401</v>
      </c>
      <c r="B42">
        <v>0.42</v>
      </c>
      <c r="C42">
        <v>0</v>
      </c>
      <c r="D42">
        <v>0</v>
      </c>
      <c r="E42" t="s">
        <v>54</v>
      </c>
      <c r="F42" t="s">
        <v>54</v>
      </c>
      <c r="G42">
        <v>3</v>
      </c>
      <c r="H42" t="s">
        <v>55</v>
      </c>
      <c r="I42">
        <v>481500</v>
      </c>
      <c r="J42">
        <v>32400</v>
      </c>
      <c r="K42">
        <v>0.42</v>
      </c>
      <c r="L42">
        <v>0</v>
      </c>
      <c r="M42">
        <v>0</v>
      </c>
      <c r="N42">
        <v>0</v>
      </c>
      <c r="O42">
        <v>47108.068500000001</v>
      </c>
      <c r="P42">
        <v>122297.704</v>
      </c>
      <c r="Q42">
        <f>(LN(Granger_Sales[[#This Row],[parcel_acres]])*Granger_Sales[[#This Row],[coeff]])+Granger_Sales[[#This Row],[const]]</f>
        <v>81431.427832777015</v>
      </c>
      <c r="R42" t="s">
        <v>73</v>
      </c>
      <c r="S42">
        <v>1</v>
      </c>
      <c r="T42" t="s">
        <v>74</v>
      </c>
      <c r="U42" t="s">
        <v>70</v>
      </c>
      <c r="V42">
        <v>0</v>
      </c>
      <c r="W42">
        <v>0</v>
      </c>
      <c r="X42">
        <v>19</v>
      </c>
      <c r="Y42">
        <v>19</v>
      </c>
      <c r="Z42">
        <v>20</v>
      </c>
      <c r="AA42">
        <v>3000</v>
      </c>
      <c r="AB42">
        <v>2888</v>
      </c>
      <c r="AC42">
        <v>1454</v>
      </c>
      <c r="AD42">
        <v>0</v>
      </c>
      <c r="AE42">
        <v>1434</v>
      </c>
      <c r="AF42">
        <v>52</v>
      </c>
      <c r="AG42">
        <v>683</v>
      </c>
      <c r="AH42">
        <v>0</v>
      </c>
      <c r="AI42">
        <v>207</v>
      </c>
      <c r="AJ42">
        <v>0</v>
      </c>
      <c r="AK42">
        <v>13</v>
      </c>
      <c r="AL42">
        <v>0</v>
      </c>
      <c r="AM42">
        <v>0</v>
      </c>
      <c r="AN42" t="s">
        <v>59</v>
      </c>
      <c r="AO42">
        <v>1</v>
      </c>
      <c r="AP42" t="s">
        <v>63</v>
      </c>
      <c r="AQ42" t="s">
        <v>65</v>
      </c>
      <c r="AR42">
        <v>1</v>
      </c>
      <c r="AS42">
        <v>4</v>
      </c>
      <c r="AT42">
        <v>0</v>
      </c>
      <c r="AU42">
        <v>0</v>
      </c>
      <c r="AV42">
        <v>100</v>
      </c>
      <c r="AW42" s="1">
        <v>44202</v>
      </c>
      <c r="AX42">
        <v>25200</v>
      </c>
      <c r="AY42">
        <v>399234</v>
      </c>
      <c r="AZ42">
        <v>424400</v>
      </c>
      <c r="BA42">
        <v>428000</v>
      </c>
      <c r="BB42">
        <v>725</v>
      </c>
      <c r="BC42">
        <f>Granger_Sales[[#This Row],[land_extract]]*Lookups!$B$3</f>
        <v>48511.209647962518</v>
      </c>
      <c r="BD42">
        <f>Lookups!$B$2</f>
        <v>29703.559000000001</v>
      </c>
      <c r="BE42">
        <f>VLOOKUP(Granger_Sales[[#This Row],[quality]],Lookups!$H$2:$J$12,3,FALSE)</f>
        <v>94366</v>
      </c>
      <c r="BF42">
        <f>VLOOKUP(Granger_Sales[[#This Row],[condition]],Lookups!$H$17:$J$24,3,FALSE)</f>
        <v>80695</v>
      </c>
      <c r="BG42">
        <f>Granger_Sales[[#This Row],[Age]]*Lookups!$B$16</f>
        <v>-3939.2909</v>
      </c>
      <c r="BH42">
        <f>Granger_Sales[[#This Row],[living_area]]*Lookups!$B$17</f>
        <v>194284.161192</v>
      </c>
      <c r="BI42">
        <f>Granger_Sales[[#This Row],[garage_sqft]]*Lookups!$B$18</f>
        <v>33089.701238000001</v>
      </c>
      <c r="BJ42">
        <f>Granger_Sales[[#This Row],[Patio]]*Lookups!$B$19</f>
        <v>0</v>
      </c>
      <c r="BK42">
        <f>Granger_Sales[[#This Row],[days_prior_to_assessment]]*Lookups!$B$20</f>
        <v>-48692.167249999999</v>
      </c>
      <c r="BL42">
        <f>Granger_Sales[[#This Row],[land_value_1]]</f>
        <v>48511.209647962518</v>
      </c>
      <c r="BM42">
        <f>SUM(Granger_Sales[[#This Row],[Intercept]:[Days_prior_adj]])</f>
        <v>379506.96328000003</v>
      </c>
      <c r="BN42">
        <f>Granger_Sales[[#This Row],[detatched_value]]</f>
        <v>0</v>
      </c>
      <c r="BO42">
        <f>SUM(Granger_Sales[[#This Row],[predicted_land]:[predicted_det]])</f>
        <v>428018.17292796256</v>
      </c>
      <c r="BP42">
        <f>Granger_Sales[[#This Row],[predicted_total]]/Granger_Sales[[#This Row],[sale_price]]</f>
        <v>1.0000424601120621</v>
      </c>
      <c r="BQ42">
        <f>VLOOKUP(Granger_Sales[[#This Row],[quality]],Lookups!$A$25:$C$35,3,FALSE)</f>
        <v>0.99995754169072248</v>
      </c>
      <c r="BR42">
        <f>VLOOKUP(Granger_Sales[[#This Row],[condition]],Lookups!$A$38:$C$45,3,FALSE)</f>
        <v>0.99484195314749324</v>
      </c>
      <c r="BS42">
        <f>VLOOKUP(Granger_Sales[[#This Row],[decade]],Lookups!$G$28:$I$42,3,FALSE)</f>
        <v>1.0159161060824455</v>
      </c>
      <c r="BT42">
        <f>VLOOKUP(Granger_Sales[[#This Row],[living_area_range]],Lookups!$A$48:$C$57,3,FALSE)</f>
        <v>0.99995754169072248</v>
      </c>
      <c r="BU42">
        <f>Granger_Sales[[#This Row],[predicted_land]]</f>
        <v>48511.209647962518</v>
      </c>
      <c r="BV42">
        <f>Granger_Sales[[#This Row],[predicted_res]]*AVERAGE(Granger_Sales[[#This Row],[qual_adj]:[living_range_adj]])</f>
        <v>380519.59626527521</v>
      </c>
      <c r="BW42">
        <f>Granger_Sales[[#This Row],[predicted_det]]</f>
        <v>0</v>
      </c>
      <c r="BX42">
        <f>SUM(Granger_Sales[[#This Row],[final_land]:[final_det]])</f>
        <v>429030.80591323774</v>
      </c>
      <c r="BY42">
        <f>Granger_Sales[[#This Row],[final_total]]/Granger_Sales[[#This Row],[sale_price]]</f>
        <v>1.0024084250309293</v>
      </c>
      <c r="BZ42" s="7">
        <f>(Granger_Sales[[#This Row],[final_total]]-Granger_Sales[[#This Row],[sale_price]])^2</f>
        <v>1062560.8307658879</v>
      </c>
      <c r="CA42" s="7">
        <f>(Granger_Sales[[#This Row],[final_total]]-AVERAGE(Granger_Sales[sale_price]))^2</f>
        <v>28037522325.929958</v>
      </c>
      <c r="CB42" s="7">
        <f>Granger_Sales[[#This Row],[SSE]]+Granger_Sales[[#This Row],[SSR]]</f>
        <v>28038584886.760723</v>
      </c>
      <c r="CC42" s="12">
        <f>ABS(Granger_Sales[[#This Row],[final_ratio]]-MEDIAN(Granger_Sales[final_ratio]))</f>
        <v>1.1869641497168182E-2</v>
      </c>
    </row>
    <row r="43" spans="1:81" x14ac:dyDescent="0.25">
      <c r="A43">
        <v>21102234404</v>
      </c>
      <c r="B43">
        <v>0.41</v>
      </c>
      <c r="C43">
        <v>0</v>
      </c>
      <c r="D43">
        <v>0</v>
      </c>
      <c r="E43" t="s">
        <v>54</v>
      </c>
      <c r="F43" t="s">
        <v>54</v>
      </c>
      <c r="G43">
        <v>3</v>
      </c>
      <c r="H43" t="s">
        <v>55</v>
      </c>
      <c r="I43">
        <v>455900</v>
      </c>
      <c r="J43">
        <v>31600</v>
      </c>
      <c r="K43">
        <v>0.41</v>
      </c>
      <c r="L43">
        <v>0</v>
      </c>
      <c r="M43">
        <v>0</v>
      </c>
      <c r="N43">
        <v>0</v>
      </c>
      <c r="O43">
        <v>47108.068500000001</v>
      </c>
      <c r="P43">
        <v>122297.704</v>
      </c>
      <c r="Q43">
        <f>(LN(Granger_Sales[[#This Row],[parcel_acres]])*Granger_Sales[[#This Row],[coeff]])+Granger_Sales[[#This Row],[const]]</f>
        <v>80296.23872230835</v>
      </c>
      <c r="R43" t="s">
        <v>73</v>
      </c>
      <c r="S43">
        <v>1</v>
      </c>
      <c r="T43" t="s">
        <v>65</v>
      </c>
      <c r="U43" t="s">
        <v>70</v>
      </c>
      <c r="V43">
        <v>0</v>
      </c>
      <c r="W43">
        <v>0</v>
      </c>
      <c r="X43">
        <v>19</v>
      </c>
      <c r="Y43">
        <v>19</v>
      </c>
      <c r="Z43">
        <v>20</v>
      </c>
      <c r="AA43">
        <v>2500</v>
      </c>
      <c r="AB43">
        <v>2311</v>
      </c>
      <c r="AC43">
        <v>2311</v>
      </c>
      <c r="AD43">
        <v>0</v>
      </c>
      <c r="AE43">
        <v>0</v>
      </c>
      <c r="AF43">
        <v>0</v>
      </c>
      <c r="AG43">
        <v>704</v>
      </c>
      <c r="AH43">
        <v>0</v>
      </c>
      <c r="AI43">
        <v>0</v>
      </c>
      <c r="AJ43">
        <v>1205</v>
      </c>
      <c r="AK43">
        <v>18</v>
      </c>
      <c r="AL43">
        <v>0</v>
      </c>
      <c r="AM43">
        <v>0</v>
      </c>
      <c r="AN43" t="s">
        <v>75</v>
      </c>
      <c r="AO43">
        <v>1</v>
      </c>
      <c r="AP43" t="s">
        <v>60</v>
      </c>
      <c r="AQ43" t="s">
        <v>65</v>
      </c>
      <c r="AR43">
        <v>1</v>
      </c>
      <c r="AS43">
        <v>3</v>
      </c>
      <c r="AT43">
        <v>0</v>
      </c>
      <c r="AU43">
        <v>0</v>
      </c>
      <c r="AV43">
        <v>100</v>
      </c>
      <c r="AW43" s="1">
        <v>44345</v>
      </c>
      <c r="AX43">
        <v>60000</v>
      </c>
      <c r="AY43">
        <v>711594</v>
      </c>
      <c r="AZ43">
        <v>771600</v>
      </c>
      <c r="BA43">
        <v>592000</v>
      </c>
      <c r="BB43">
        <v>582</v>
      </c>
      <c r="BC43">
        <f>Granger_Sales[[#This Row],[land_extract]]*Lookups!$B$3</f>
        <v>47834.942531031731</v>
      </c>
      <c r="BD43">
        <f>Lookups!$B$2</f>
        <v>29703.559000000001</v>
      </c>
      <c r="BE43">
        <f>VLOOKUP(Granger_Sales[[#This Row],[quality]],Lookups!$H$2:$J$12,3,FALSE)</f>
        <v>221767</v>
      </c>
      <c r="BF43">
        <f>VLOOKUP(Granger_Sales[[#This Row],[condition]],Lookups!$H$17:$J$24,3,FALSE)</f>
        <v>80695</v>
      </c>
      <c r="BG43">
        <f>Granger_Sales[[#This Row],[Age]]*Lookups!$B$16</f>
        <v>-3939.2909</v>
      </c>
      <c r="BH43">
        <f>Granger_Sales[[#This Row],[living_area]]*Lookups!$B$17</f>
        <v>155467.69269900001</v>
      </c>
      <c r="BI43">
        <f>Granger_Sales[[#This Row],[garage_sqft]]*Lookups!$B$18</f>
        <v>34107.100544000001</v>
      </c>
      <c r="BJ43">
        <f>Granger_Sales[[#This Row],[Patio]]*Lookups!$B$19</f>
        <v>65449.69068</v>
      </c>
      <c r="BK43">
        <f>Granger_Sales[[#This Row],[days_prior_to_assessment]]*Lookups!$B$20</f>
        <v>-39088.05702</v>
      </c>
      <c r="BL43">
        <f>Granger_Sales[[#This Row],[land_value_1]]</f>
        <v>47834.942531031731</v>
      </c>
      <c r="BM43">
        <f>SUM(Granger_Sales[[#This Row],[Intercept]:[Days_prior_adj]])</f>
        <v>544162.69500300009</v>
      </c>
      <c r="BN43">
        <f>Granger_Sales[[#This Row],[detatched_value]]</f>
        <v>0</v>
      </c>
      <c r="BO43">
        <f>SUM(Granger_Sales[[#This Row],[predicted_land]:[predicted_det]])</f>
        <v>591997.63753403188</v>
      </c>
      <c r="BP43">
        <f>Granger_Sales[[#This Row],[predicted_total]]/Granger_Sales[[#This Row],[sale_price]]</f>
        <v>0.99999600934802679</v>
      </c>
      <c r="BQ43">
        <f>VLOOKUP(Granger_Sales[[#This Row],[quality]],Lookups!$A$25:$C$35,3,FALSE)</f>
        <v>1.0000039906678986</v>
      </c>
      <c r="BR43">
        <f>VLOOKUP(Granger_Sales[[#This Row],[condition]],Lookups!$A$38:$C$45,3,FALSE)</f>
        <v>0.99484195314749324</v>
      </c>
      <c r="BS43">
        <f>VLOOKUP(Granger_Sales[[#This Row],[decade]],Lookups!$G$28:$I$42,3,FALSE)</f>
        <v>1.0159161060824455</v>
      </c>
      <c r="BT43">
        <f>VLOOKUP(Granger_Sales[[#This Row],[living_area_range]],Lookups!$A$48:$C$57,3,FALSE)</f>
        <v>1.0000039906678986</v>
      </c>
      <c r="BU43">
        <f>Granger_Sales[[#This Row],[predicted_land]]</f>
        <v>47834.942531031731</v>
      </c>
      <c r="BV43">
        <f>Granger_Sales[[#This Row],[predicted_res]]*AVERAGE(Granger_Sales[[#This Row],[qual_adj]:[living_range_adj]])</f>
        <v>545627.31441519072</v>
      </c>
      <c r="BW43">
        <f>Granger_Sales[[#This Row],[predicted_det]]</f>
        <v>0</v>
      </c>
      <c r="BX43">
        <f>SUM(Granger_Sales[[#This Row],[final_land]:[final_det]])</f>
        <v>593462.25694622239</v>
      </c>
      <c r="BY43">
        <f>Granger_Sales[[#This Row],[final_total]]/Granger_Sales[[#This Row],[sale_price]]</f>
        <v>1.0024700286253756</v>
      </c>
      <c r="BZ43" s="7">
        <f>(Granger_Sales[[#This Row],[final_total]]-Granger_Sales[[#This Row],[sale_price]])^2</f>
        <v>2138195.3767756326</v>
      </c>
      <c r="CA43" s="7">
        <f>(Granger_Sales[[#This Row],[final_total]]-AVERAGE(Granger_Sales[sale_price]))^2</f>
        <v>110141372853.03227</v>
      </c>
      <c r="CB43" s="7">
        <f>Granger_Sales[[#This Row],[SSE]]+Granger_Sales[[#This Row],[SSR]]</f>
        <v>110143511048.40904</v>
      </c>
      <c r="CC43" s="12">
        <f>ABS(Granger_Sales[[#This Row],[final_ratio]]-MEDIAN(Granger_Sales[final_ratio]))</f>
        <v>1.1931245091614473E-2</v>
      </c>
    </row>
    <row r="44" spans="1:81" x14ac:dyDescent="0.25">
      <c r="A44">
        <v>21101531422</v>
      </c>
      <c r="B44">
        <v>0.15</v>
      </c>
      <c r="C44">
        <v>6699</v>
      </c>
      <c r="D44">
        <v>0</v>
      </c>
      <c r="E44" t="s">
        <v>54</v>
      </c>
      <c r="F44" t="s">
        <v>54</v>
      </c>
      <c r="G44">
        <v>3</v>
      </c>
      <c r="H44" t="s">
        <v>55</v>
      </c>
      <c r="I44">
        <v>208200</v>
      </c>
      <c r="J44">
        <v>26300</v>
      </c>
      <c r="K44">
        <v>0.15</v>
      </c>
      <c r="L44">
        <v>0</v>
      </c>
      <c r="M44">
        <v>0</v>
      </c>
      <c r="N44">
        <v>0</v>
      </c>
      <c r="O44">
        <v>47108.068500000001</v>
      </c>
      <c r="P44">
        <v>122297.704</v>
      </c>
      <c r="Q44">
        <f>(LN(Granger_Sales[[#This Row],[parcel_acres]])*Granger_Sales[[#This Row],[coeff]])+Granger_Sales[[#This Row],[const]]</f>
        <v>32928.045799276937</v>
      </c>
      <c r="R44" t="s">
        <v>56</v>
      </c>
      <c r="S44">
        <v>1</v>
      </c>
      <c r="T44" t="s">
        <v>64</v>
      </c>
      <c r="U44" t="s">
        <v>72</v>
      </c>
      <c r="V44">
        <v>0</v>
      </c>
      <c r="W44">
        <v>0</v>
      </c>
      <c r="X44">
        <v>21</v>
      </c>
      <c r="Y44">
        <v>21</v>
      </c>
      <c r="Z44">
        <v>20</v>
      </c>
      <c r="AA44">
        <v>1500</v>
      </c>
      <c r="AB44">
        <v>1160</v>
      </c>
      <c r="AC44">
        <v>1160</v>
      </c>
      <c r="AD44">
        <v>0</v>
      </c>
      <c r="AE44">
        <v>0</v>
      </c>
      <c r="AF44">
        <v>0</v>
      </c>
      <c r="AG44">
        <v>325</v>
      </c>
      <c r="AH44">
        <v>0</v>
      </c>
      <c r="AI44">
        <v>0</v>
      </c>
      <c r="AJ44">
        <v>100</v>
      </c>
      <c r="AK44">
        <v>8</v>
      </c>
      <c r="AL44">
        <v>0</v>
      </c>
      <c r="AM44">
        <v>0</v>
      </c>
      <c r="AN44" t="s">
        <v>59</v>
      </c>
      <c r="AO44">
        <v>1</v>
      </c>
      <c r="AP44" t="s">
        <v>63</v>
      </c>
      <c r="AQ44" t="s">
        <v>65</v>
      </c>
      <c r="AR44">
        <v>1</v>
      </c>
      <c r="AS44">
        <v>3</v>
      </c>
      <c r="AT44">
        <v>0</v>
      </c>
      <c r="AU44">
        <v>0</v>
      </c>
      <c r="AV44">
        <v>100</v>
      </c>
      <c r="AW44" s="1">
        <v>43858</v>
      </c>
      <c r="AX44">
        <v>20200</v>
      </c>
      <c r="AY44">
        <v>178372</v>
      </c>
      <c r="AZ44">
        <v>198600</v>
      </c>
      <c r="BA44">
        <v>188000</v>
      </c>
      <c r="BB44">
        <v>1069</v>
      </c>
      <c r="BC44">
        <f>Granger_Sales[[#This Row],[land_extract]]*Lookups!$B$3</f>
        <v>19616.251066439891</v>
      </c>
      <c r="BD44">
        <f>Lookups!$B$2</f>
        <v>29703.559000000001</v>
      </c>
      <c r="BE44">
        <f>VLOOKUP(Granger_Sales[[#This Row],[quality]],Lookups!$H$2:$J$12,3,FALSE)</f>
        <v>36568</v>
      </c>
      <c r="BF44">
        <f>VLOOKUP(Granger_Sales[[#This Row],[condition]],Lookups!$H$17:$J$24,3,FALSE)</f>
        <v>94106</v>
      </c>
      <c r="BG44">
        <f>Granger_Sales[[#This Row],[Age]]*Lookups!$B$16</f>
        <v>-4353.9530999999997</v>
      </c>
      <c r="BH44">
        <f>Granger_Sales[[#This Row],[living_area]]*Lookups!$B$17</f>
        <v>78036.574439999997</v>
      </c>
      <c r="BI44">
        <f>Granger_Sales[[#This Row],[garage_sqft]]*Lookups!$B$18</f>
        <v>15745.46545</v>
      </c>
      <c r="BJ44">
        <f>Granger_Sales[[#This Row],[Patio]]*Lookups!$B$19</f>
        <v>5431.5095999999994</v>
      </c>
      <c r="BK44">
        <f>Granger_Sales[[#This Row],[days_prior_to_assessment]]*Lookups!$B$20</f>
        <v>-71795.76109</v>
      </c>
      <c r="BL44">
        <f>Granger_Sales[[#This Row],[land_value_1]]</f>
        <v>19616.251066439891</v>
      </c>
      <c r="BM44">
        <f>SUM(Granger_Sales[[#This Row],[Intercept]:[Days_prior_adj]])</f>
        <v>183441.39429999999</v>
      </c>
      <c r="BN44">
        <f>Granger_Sales[[#This Row],[detatched_value]]</f>
        <v>0</v>
      </c>
      <c r="BO44">
        <f>SUM(Granger_Sales[[#This Row],[predicted_land]:[predicted_det]])</f>
        <v>203057.64536643989</v>
      </c>
      <c r="BP44">
        <f>Granger_Sales[[#This Row],[predicted_total]]/Granger_Sales[[#This Row],[sale_price]]</f>
        <v>1.0800938583321271</v>
      </c>
      <c r="BQ44">
        <f>VLOOKUP(Granger_Sales[[#This Row],[quality]],Lookups!$A$25:$C$35,3,FALSE)</f>
        <v>0.99049976351917957</v>
      </c>
      <c r="BR44">
        <f>VLOOKUP(Granger_Sales[[#This Row],[condition]],Lookups!$A$38:$C$45,3,FALSE)</f>
        <v>0.98658583151544277</v>
      </c>
      <c r="BS44">
        <f>VLOOKUP(Granger_Sales[[#This Row],[decade]],Lookups!$G$28:$I$42,3,FALSE)</f>
        <v>1.0159161060824455</v>
      </c>
      <c r="BT44">
        <f>VLOOKUP(Granger_Sales[[#This Row],[living_area_range]],Lookups!$A$48:$C$57,3,FALSE)</f>
        <v>0.97960506760539345</v>
      </c>
      <c r="BU44">
        <f>Granger_Sales[[#This Row],[predicted_land]]</f>
        <v>19616.251066439891</v>
      </c>
      <c r="BV44">
        <f>Granger_Sales[[#This Row],[predicted_res]]*AVERAGE(Granger_Sales[[#This Row],[qual_adj]:[living_range_adj]])</f>
        <v>182185.13116501647</v>
      </c>
      <c r="BW44">
        <f>Granger_Sales[[#This Row],[predicted_det]]</f>
        <v>0</v>
      </c>
      <c r="BX44">
        <f>SUM(Granger_Sales[[#This Row],[final_land]:[final_det]])</f>
        <v>201801.38223145637</v>
      </c>
      <c r="BY44">
        <f>Granger_Sales[[#This Row],[final_total]]/Granger_Sales[[#This Row],[sale_price]]</f>
        <v>1.0734116076141296</v>
      </c>
      <c r="BZ44" s="7">
        <f>(Granger_Sales[[#This Row],[final_total]]-Granger_Sales[[#This Row],[sale_price]])^2</f>
        <v>190478151.49875969</v>
      </c>
      <c r="CA44" s="7">
        <f>(Granger_Sales[[#This Row],[final_total]]-AVERAGE(Granger_Sales[sale_price]))^2</f>
        <v>3574286462.6355062</v>
      </c>
      <c r="CB44" s="7">
        <f>Granger_Sales[[#This Row],[SSE]]+Granger_Sales[[#This Row],[SSR]]</f>
        <v>3764764614.1342659</v>
      </c>
      <c r="CC44" s="12">
        <f>ABS(Granger_Sales[[#This Row],[final_ratio]]-MEDIAN(Granger_Sales[final_ratio]))</f>
        <v>8.2872824080368446E-2</v>
      </c>
    </row>
    <row r="45" spans="1:81" x14ac:dyDescent="0.25">
      <c r="A45">
        <v>21101531422</v>
      </c>
      <c r="B45">
        <v>0.15</v>
      </c>
      <c r="C45">
        <v>6699</v>
      </c>
      <c r="D45">
        <v>0</v>
      </c>
      <c r="E45" t="s">
        <v>54</v>
      </c>
      <c r="F45" t="s">
        <v>54</v>
      </c>
      <c r="G45">
        <v>3</v>
      </c>
      <c r="H45" t="s">
        <v>55</v>
      </c>
      <c r="I45">
        <v>208200</v>
      </c>
      <c r="J45">
        <v>26300</v>
      </c>
      <c r="K45">
        <v>0.15</v>
      </c>
      <c r="L45">
        <v>0</v>
      </c>
      <c r="M45">
        <v>0</v>
      </c>
      <c r="N45">
        <v>0</v>
      </c>
      <c r="O45">
        <v>47108.068500000001</v>
      </c>
      <c r="P45">
        <v>122297.704</v>
      </c>
      <c r="Q45">
        <f>(LN(Granger_Sales[[#This Row],[parcel_acres]])*Granger_Sales[[#This Row],[coeff]])+Granger_Sales[[#This Row],[const]]</f>
        <v>32928.045799276937</v>
      </c>
      <c r="R45" t="s">
        <v>56</v>
      </c>
      <c r="S45">
        <v>1</v>
      </c>
      <c r="T45" t="s">
        <v>64</v>
      </c>
      <c r="U45" t="s">
        <v>72</v>
      </c>
      <c r="V45">
        <v>0</v>
      </c>
      <c r="W45">
        <v>0</v>
      </c>
      <c r="X45">
        <v>21</v>
      </c>
      <c r="Y45">
        <v>21</v>
      </c>
      <c r="Z45">
        <v>20</v>
      </c>
      <c r="AA45">
        <v>1500</v>
      </c>
      <c r="AB45">
        <v>1160</v>
      </c>
      <c r="AC45">
        <v>1160</v>
      </c>
      <c r="AD45">
        <v>0</v>
      </c>
      <c r="AE45">
        <v>0</v>
      </c>
      <c r="AF45">
        <v>0</v>
      </c>
      <c r="AG45">
        <v>325</v>
      </c>
      <c r="AH45">
        <v>0</v>
      </c>
      <c r="AI45">
        <v>0</v>
      </c>
      <c r="AJ45">
        <v>100</v>
      </c>
      <c r="AK45">
        <v>8</v>
      </c>
      <c r="AL45">
        <v>0</v>
      </c>
      <c r="AM45">
        <v>0</v>
      </c>
      <c r="AN45" t="s">
        <v>59</v>
      </c>
      <c r="AO45">
        <v>1</v>
      </c>
      <c r="AP45" t="s">
        <v>63</v>
      </c>
      <c r="AQ45" t="s">
        <v>65</v>
      </c>
      <c r="AR45">
        <v>1</v>
      </c>
      <c r="AS45">
        <v>3</v>
      </c>
      <c r="AT45">
        <v>0</v>
      </c>
      <c r="AU45">
        <v>0</v>
      </c>
      <c r="AV45">
        <v>100</v>
      </c>
      <c r="AW45" s="1">
        <v>44431</v>
      </c>
      <c r="AX45">
        <v>20200</v>
      </c>
      <c r="AY45">
        <v>178372</v>
      </c>
      <c r="AZ45">
        <v>198600</v>
      </c>
      <c r="BA45">
        <v>250000</v>
      </c>
      <c r="BB45">
        <v>496</v>
      </c>
      <c r="BC45">
        <f>Granger_Sales[[#This Row],[land_extract]]*Lookups!$B$3</f>
        <v>19616.251066439891</v>
      </c>
      <c r="BD45">
        <f>Lookups!$B$2</f>
        <v>29703.559000000001</v>
      </c>
      <c r="BE45">
        <f>VLOOKUP(Granger_Sales[[#This Row],[quality]],Lookups!$H$2:$J$12,3,FALSE)</f>
        <v>36568</v>
      </c>
      <c r="BF45">
        <f>VLOOKUP(Granger_Sales[[#This Row],[condition]],Lookups!$H$17:$J$24,3,FALSE)</f>
        <v>94106</v>
      </c>
      <c r="BG45">
        <f>Granger_Sales[[#This Row],[Age]]*Lookups!$B$16</f>
        <v>-4353.9530999999997</v>
      </c>
      <c r="BH45">
        <f>Granger_Sales[[#This Row],[living_area]]*Lookups!$B$17</f>
        <v>78036.574439999997</v>
      </c>
      <c r="BI45">
        <f>Granger_Sales[[#This Row],[garage_sqft]]*Lookups!$B$18</f>
        <v>15745.46545</v>
      </c>
      <c r="BJ45">
        <f>Granger_Sales[[#This Row],[Patio]]*Lookups!$B$19</f>
        <v>5431.5095999999994</v>
      </c>
      <c r="BK45">
        <f>Granger_Sales[[#This Row],[days_prior_to_assessment]]*Lookups!$B$20</f>
        <v>-33312.158559999996</v>
      </c>
      <c r="BL45">
        <f>Granger_Sales[[#This Row],[land_value_1]]</f>
        <v>19616.251066439891</v>
      </c>
      <c r="BM45">
        <f>SUM(Granger_Sales[[#This Row],[Intercept]:[Days_prior_adj]])</f>
        <v>221924.99682999996</v>
      </c>
      <c r="BN45">
        <f>Granger_Sales[[#This Row],[detatched_value]]</f>
        <v>0</v>
      </c>
      <c r="BO45">
        <f>SUM(Granger_Sales[[#This Row],[predicted_land]:[predicted_det]])</f>
        <v>241541.24789643986</v>
      </c>
      <c r="BP45">
        <f>Granger_Sales[[#This Row],[predicted_total]]/Granger_Sales[[#This Row],[sale_price]]</f>
        <v>0.96616499158575941</v>
      </c>
      <c r="BQ45">
        <f>VLOOKUP(Granger_Sales[[#This Row],[quality]],Lookups!$A$25:$C$35,3,FALSE)</f>
        <v>0.99049976351917957</v>
      </c>
      <c r="BR45">
        <f>VLOOKUP(Granger_Sales[[#This Row],[condition]],Lookups!$A$38:$C$45,3,FALSE)</f>
        <v>0.98658583151544277</v>
      </c>
      <c r="BS45">
        <f>VLOOKUP(Granger_Sales[[#This Row],[decade]],Lookups!$G$28:$I$42,3,FALSE)</f>
        <v>1.0159161060824455</v>
      </c>
      <c r="BT45">
        <f>VLOOKUP(Granger_Sales[[#This Row],[living_area_range]],Lookups!$A$48:$C$57,3,FALSE)</f>
        <v>0.97960506760539345</v>
      </c>
      <c r="BU45">
        <f>Granger_Sales[[#This Row],[predicted_land]]</f>
        <v>19616.251066439891</v>
      </c>
      <c r="BV45">
        <f>Granger_Sales[[#This Row],[predicted_res]]*AVERAGE(Granger_Sales[[#This Row],[qual_adj]:[living_range_adj]])</f>
        <v>220405.18613889217</v>
      </c>
      <c r="BW45">
        <f>Granger_Sales[[#This Row],[predicted_det]]</f>
        <v>0</v>
      </c>
      <c r="BX45">
        <f>SUM(Granger_Sales[[#This Row],[final_land]:[final_det]])</f>
        <v>240021.43720533207</v>
      </c>
      <c r="BY45">
        <f>Granger_Sales[[#This Row],[final_total]]/Granger_Sales[[#This Row],[sale_price]]</f>
        <v>0.96008574882132824</v>
      </c>
      <c r="BZ45" s="7">
        <f>(Granger_Sales[[#This Row],[final_total]]-Granger_Sales[[#This Row],[sale_price]])^2</f>
        <v>99571715.447131068</v>
      </c>
      <c r="CA45" s="7">
        <f>(Granger_Sales[[#This Row],[final_total]]-AVERAGE(Granger_Sales[sale_price]))^2</f>
        <v>465061368.10079527</v>
      </c>
      <c r="CB45" s="7">
        <f>Granger_Sales[[#This Row],[SSE]]+Granger_Sales[[#This Row],[SSR]]</f>
        <v>564633083.54792631</v>
      </c>
      <c r="CC45" s="12">
        <f>ABS(Granger_Sales[[#This Row],[final_ratio]]-MEDIAN(Granger_Sales[final_ratio]))</f>
        <v>3.045303471243288E-2</v>
      </c>
    </row>
    <row r="46" spans="1:81" x14ac:dyDescent="0.25">
      <c r="A46">
        <v>21101531446</v>
      </c>
      <c r="B46">
        <v>0.31</v>
      </c>
      <c r="C46">
        <v>13603</v>
      </c>
      <c r="D46">
        <v>0</v>
      </c>
      <c r="E46" t="s">
        <v>54</v>
      </c>
      <c r="F46" t="s">
        <v>54</v>
      </c>
      <c r="G46">
        <v>3</v>
      </c>
      <c r="H46" t="s">
        <v>55</v>
      </c>
      <c r="I46">
        <v>274400</v>
      </c>
      <c r="J46">
        <v>30600</v>
      </c>
      <c r="K46">
        <v>0.31</v>
      </c>
      <c r="L46">
        <v>0</v>
      </c>
      <c r="M46">
        <v>0</v>
      </c>
      <c r="N46">
        <v>0</v>
      </c>
      <c r="O46">
        <v>47108.068500000001</v>
      </c>
      <c r="P46">
        <v>122297.704</v>
      </c>
      <c r="Q46">
        <f>(LN(Granger_Sales[[#This Row],[parcel_acres]])*Granger_Sales[[#This Row],[coeff]])+Granger_Sales[[#This Row],[const]]</f>
        <v>67125.53588132502</v>
      </c>
      <c r="R46" t="s">
        <v>56</v>
      </c>
      <c r="S46">
        <v>1</v>
      </c>
      <c r="T46" t="s">
        <v>57</v>
      </c>
      <c r="U46" t="s">
        <v>72</v>
      </c>
      <c r="V46">
        <v>0</v>
      </c>
      <c r="W46">
        <v>0</v>
      </c>
      <c r="X46">
        <v>21</v>
      </c>
      <c r="Y46">
        <v>21</v>
      </c>
      <c r="Z46">
        <v>20</v>
      </c>
      <c r="AA46">
        <v>1500</v>
      </c>
      <c r="AB46">
        <v>1368</v>
      </c>
      <c r="AC46">
        <v>1368</v>
      </c>
      <c r="AD46">
        <v>0</v>
      </c>
      <c r="AE46">
        <v>0</v>
      </c>
      <c r="AF46">
        <v>0</v>
      </c>
      <c r="AG46">
        <v>400</v>
      </c>
      <c r="AH46">
        <v>0</v>
      </c>
      <c r="AI46">
        <v>0</v>
      </c>
      <c r="AJ46">
        <v>80</v>
      </c>
      <c r="AK46">
        <v>9</v>
      </c>
      <c r="AL46">
        <v>0</v>
      </c>
      <c r="AM46">
        <v>0</v>
      </c>
      <c r="AN46" t="s">
        <v>59</v>
      </c>
      <c r="AO46">
        <v>1</v>
      </c>
      <c r="AP46" t="s">
        <v>60</v>
      </c>
      <c r="AQ46" t="s">
        <v>65</v>
      </c>
      <c r="AR46">
        <v>1</v>
      </c>
      <c r="AS46">
        <v>4</v>
      </c>
      <c r="AT46">
        <v>0</v>
      </c>
      <c r="AU46">
        <v>0</v>
      </c>
      <c r="AV46">
        <v>100</v>
      </c>
      <c r="AW46" s="1">
        <v>44669</v>
      </c>
      <c r="AX46">
        <v>23700</v>
      </c>
      <c r="AY46">
        <v>236984</v>
      </c>
      <c r="AZ46">
        <v>260700</v>
      </c>
      <c r="BA46">
        <v>330000</v>
      </c>
      <c r="BB46">
        <v>258</v>
      </c>
      <c r="BC46">
        <f>Granger_Sales[[#This Row],[land_extract]]*Lookups!$B$3</f>
        <v>39988.749191010458</v>
      </c>
      <c r="BD46">
        <f>Lookups!$B$2</f>
        <v>29703.559000000001</v>
      </c>
      <c r="BE46">
        <f>VLOOKUP(Granger_Sales[[#This Row],[quality]],Lookups!$H$2:$J$12,3,FALSE)</f>
        <v>56414</v>
      </c>
      <c r="BF46">
        <f>VLOOKUP(Granger_Sales[[#This Row],[condition]],Lookups!$H$17:$J$24,3,FALSE)</f>
        <v>94106</v>
      </c>
      <c r="BG46">
        <f>Granger_Sales[[#This Row],[Age]]*Lookups!$B$16</f>
        <v>-4353.9530999999997</v>
      </c>
      <c r="BH46">
        <f>Granger_Sales[[#This Row],[living_area]]*Lookups!$B$17</f>
        <v>92029.339511999991</v>
      </c>
      <c r="BI46">
        <f>Granger_Sales[[#This Row],[garage_sqft]]*Lookups!$B$18</f>
        <v>19379.0344</v>
      </c>
      <c r="BJ46">
        <f>Granger_Sales[[#This Row],[Patio]]*Lookups!$B$19</f>
        <v>4345.2076799999995</v>
      </c>
      <c r="BK46">
        <f>Granger_Sales[[#This Row],[days_prior_to_assessment]]*Lookups!$B$20</f>
        <v>-17327.695379999997</v>
      </c>
      <c r="BL46">
        <f>Granger_Sales[[#This Row],[land_value_1]]</f>
        <v>39988.749191010458</v>
      </c>
      <c r="BM46">
        <f>SUM(Granger_Sales[[#This Row],[Intercept]:[Days_prior_adj]])</f>
        <v>274295.49211200001</v>
      </c>
      <c r="BN46">
        <f>Granger_Sales[[#This Row],[detatched_value]]</f>
        <v>0</v>
      </c>
      <c r="BO46">
        <f>SUM(Granger_Sales[[#This Row],[predicted_land]:[predicted_det]])</f>
        <v>314284.24130301049</v>
      </c>
      <c r="BP46">
        <f>Granger_Sales[[#This Row],[predicted_total]]/Granger_Sales[[#This Row],[sale_price]]</f>
        <v>0.95237648879700154</v>
      </c>
      <c r="BQ46">
        <f>VLOOKUP(Granger_Sales[[#This Row],[quality]],Lookups!$A$25:$C$35,3,FALSE)</f>
        <v>0.98791809110152173</v>
      </c>
      <c r="BR46">
        <f>VLOOKUP(Granger_Sales[[#This Row],[condition]],Lookups!$A$38:$C$45,3,FALSE)</f>
        <v>0.98658583151544277</v>
      </c>
      <c r="BS46">
        <f>VLOOKUP(Granger_Sales[[#This Row],[decade]],Lookups!$G$28:$I$42,3,FALSE)</f>
        <v>1.0159161060824455</v>
      </c>
      <c r="BT46">
        <f>VLOOKUP(Granger_Sales[[#This Row],[living_area_range]],Lookups!$A$48:$C$57,3,FALSE)</f>
        <v>0.97960506760539345</v>
      </c>
      <c r="BU46">
        <f>Granger_Sales[[#This Row],[predicted_land]]</f>
        <v>39988.749191010458</v>
      </c>
      <c r="BV46">
        <f>Granger_Sales[[#This Row],[predicted_res]]*AVERAGE(Granger_Sales[[#This Row],[qual_adj]:[living_range_adj]])</f>
        <v>272239.99687197909</v>
      </c>
      <c r="BW46">
        <f>Granger_Sales[[#This Row],[predicted_det]]</f>
        <v>0</v>
      </c>
      <c r="BX46">
        <f>SUM(Granger_Sales[[#This Row],[final_land]:[final_det]])</f>
        <v>312228.74606298958</v>
      </c>
      <c r="BY46">
        <f>Granger_Sales[[#This Row],[final_total]]/Granger_Sales[[#This Row],[sale_price]]</f>
        <v>0.94614771534239261</v>
      </c>
      <c r="BZ46" s="7">
        <f>(Granger_Sales[[#This Row],[final_total]]-Granger_Sales[[#This Row],[sale_price]])^2</f>
        <v>315817466.49370837</v>
      </c>
      <c r="CA46" s="7">
        <f>(Granger_Sales[[#This Row],[final_total]]-AVERAGE(Granger_Sales[sale_price]))^2</f>
        <v>2564614930.3695827</v>
      </c>
      <c r="CB46" s="7">
        <f>Granger_Sales[[#This Row],[SSE]]+Granger_Sales[[#This Row],[SSR]]</f>
        <v>2880432396.8632908</v>
      </c>
      <c r="CC46" s="12">
        <f>ABS(Granger_Sales[[#This Row],[final_ratio]]-MEDIAN(Granger_Sales[final_ratio]))</f>
        <v>4.439106819136851E-2</v>
      </c>
    </row>
    <row r="47" spans="1:81" x14ac:dyDescent="0.25">
      <c r="A47">
        <v>21102231402</v>
      </c>
      <c r="B47">
        <v>0.5</v>
      </c>
      <c r="C47">
        <v>0</v>
      </c>
      <c r="D47">
        <v>0</v>
      </c>
      <c r="E47" t="s">
        <v>54</v>
      </c>
      <c r="F47" t="s">
        <v>54</v>
      </c>
      <c r="G47">
        <v>3</v>
      </c>
      <c r="H47" t="s">
        <v>55</v>
      </c>
      <c r="I47">
        <v>382900</v>
      </c>
      <c r="J47">
        <v>33500</v>
      </c>
      <c r="K47">
        <v>0.5</v>
      </c>
      <c r="L47">
        <v>0</v>
      </c>
      <c r="M47">
        <v>0</v>
      </c>
      <c r="N47">
        <v>0</v>
      </c>
      <c r="O47">
        <v>47108.068500000001</v>
      </c>
      <c r="P47">
        <v>122297.704</v>
      </c>
      <c r="Q47">
        <f>(LN(Granger_Sales[[#This Row],[parcel_acres]])*Granger_Sales[[#This Row],[coeff]])+Granger_Sales[[#This Row],[const]]</f>
        <v>89644.879137600219</v>
      </c>
      <c r="R47" t="s">
        <v>59</v>
      </c>
      <c r="S47">
        <v>1</v>
      </c>
      <c r="T47" t="s">
        <v>61</v>
      </c>
      <c r="U47" t="s">
        <v>70</v>
      </c>
      <c r="V47">
        <v>0</v>
      </c>
      <c r="W47">
        <v>0</v>
      </c>
      <c r="X47">
        <v>21</v>
      </c>
      <c r="Y47">
        <v>21</v>
      </c>
      <c r="Z47">
        <v>20</v>
      </c>
      <c r="AA47">
        <v>2000</v>
      </c>
      <c r="AB47">
        <v>1950</v>
      </c>
      <c r="AC47">
        <v>1464</v>
      </c>
      <c r="AD47">
        <v>0</v>
      </c>
      <c r="AE47">
        <v>486</v>
      </c>
      <c r="AF47">
        <v>112</v>
      </c>
      <c r="AG47">
        <v>462</v>
      </c>
      <c r="AH47">
        <v>0</v>
      </c>
      <c r="AI47">
        <v>357</v>
      </c>
      <c r="AJ47">
        <v>224</v>
      </c>
      <c r="AK47">
        <v>12</v>
      </c>
      <c r="AL47">
        <v>1</v>
      </c>
      <c r="AM47">
        <v>0</v>
      </c>
      <c r="AN47" t="s">
        <v>59</v>
      </c>
      <c r="AO47">
        <v>1</v>
      </c>
      <c r="AP47" t="s">
        <v>63</v>
      </c>
      <c r="AQ47" t="s">
        <v>65</v>
      </c>
      <c r="AR47">
        <v>1</v>
      </c>
      <c r="AS47">
        <v>3</v>
      </c>
      <c r="AT47">
        <v>0</v>
      </c>
      <c r="AU47">
        <v>0</v>
      </c>
      <c r="AV47">
        <v>100</v>
      </c>
      <c r="AW47" s="1">
        <v>43986</v>
      </c>
      <c r="AX47">
        <v>26300</v>
      </c>
      <c r="AY47">
        <v>366344</v>
      </c>
      <c r="AZ47">
        <v>392600</v>
      </c>
      <c r="BA47">
        <v>355000</v>
      </c>
      <c r="BB47">
        <v>941</v>
      </c>
      <c r="BC47">
        <f>Granger_Sales[[#This Row],[land_extract]]*Lookups!$B$3</f>
        <v>53404.215564545892</v>
      </c>
      <c r="BD47">
        <f>Lookups!$B$2</f>
        <v>29703.559000000001</v>
      </c>
      <c r="BE47">
        <f>VLOOKUP(Granger_Sales[[#This Row],[quality]],Lookups!$H$2:$J$12,3,FALSE)</f>
        <v>71767</v>
      </c>
      <c r="BF47">
        <f>VLOOKUP(Granger_Sales[[#This Row],[condition]],Lookups!$H$17:$J$24,3,FALSE)</f>
        <v>80695</v>
      </c>
      <c r="BG47">
        <f>Granger_Sales[[#This Row],[Age]]*Lookups!$B$16</f>
        <v>-4353.9530999999997</v>
      </c>
      <c r="BH47">
        <f>Granger_Sales[[#This Row],[living_area]]*Lookups!$B$17</f>
        <v>131182.17254999999</v>
      </c>
      <c r="BI47">
        <f>Granger_Sales[[#This Row],[garage_sqft]]*Lookups!$B$18</f>
        <v>22382.784732</v>
      </c>
      <c r="BJ47">
        <f>Granger_Sales[[#This Row],[Patio]]*Lookups!$B$19</f>
        <v>12166.581504</v>
      </c>
      <c r="BK47">
        <f>Granger_Sales[[#This Row],[days_prior_to_assessment]]*Lookups!$B$20</f>
        <v>-63199.075009999993</v>
      </c>
      <c r="BL47">
        <f>Granger_Sales[[#This Row],[land_value_1]]</f>
        <v>53404.215564545892</v>
      </c>
      <c r="BM47">
        <f>SUM(Granger_Sales[[#This Row],[Intercept]:[Days_prior_adj]])</f>
        <v>280344.06967599998</v>
      </c>
      <c r="BN47">
        <f>Granger_Sales[[#This Row],[detatched_value]]</f>
        <v>0</v>
      </c>
      <c r="BO47">
        <f>SUM(Granger_Sales[[#This Row],[predicted_land]:[predicted_det]])</f>
        <v>333748.28524054587</v>
      </c>
      <c r="BP47">
        <f>Granger_Sales[[#This Row],[predicted_total]]/Granger_Sales[[#This Row],[sale_price]]</f>
        <v>0.94013601476210107</v>
      </c>
      <c r="BQ47">
        <f>VLOOKUP(Granger_Sales[[#This Row],[quality]],Lookups!$A$25:$C$35,3,FALSE)</f>
        <v>0.992092799099482</v>
      </c>
      <c r="BR47">
        <f>VLOOKUP(Granger_Sales[[#This Row],[condition]],Lookups!$A$38:$C$45,3,FALSE)</f>
        <v>0.99484195314749324</v>
      </c>
      <c r="BS47">
        <f>VLOOKUP(Granger_Sales[[#This Row],[decade]],Lookups!$G$28:$I$42,3,FALSE)</f>
        <v>1.0159161060824455</v>
      </c>
      <c r="BT47">
        <f>VLOOKUP(Granger_Sales[[#This Row],[living_area_range]],Lookups!$A$48:$C$57,3,FALSE)</f>
        <v>0.97860968051050168</v>
      </c>
      <c r="BU47">
        <f>Granger_Sales[[#This Row],[predicted_land]]</f>
        <v>53404.215564545892</v>
      </c>
      <c r="BV47">
        <f>Granger_Sales[[#This Row],[predicted_res]]*AVERAGE(Granger_Sales[[#This Row],[qual_adj]:[living_range_adj]])</f>
        <v>279044.71267819591</v>
      </c>
      <c r="BW47">
        <f>Granger_Sales[[#This Row],[predicted_det]]</f>
        <v>0</v>
      </c>
      <c r="BX47">
        <f>SUM(Granger_Sales[[#This Row],[final_land]:[final_det]])</f>
        <v>332448.92824274179</v>
      </c>
      <c r="BY47">
        <f>Granger_Sales[[#This Row],[final_total]]/Granger_Sales[[#This Row],[sale_price]]</f>
        <v>0.93647585420490642</v>
      </c>
      <c r="BZ47" s="7">
        <f>(Granger_Sales[[#This Row],[final_total]]-Granger_Sales[[#This Row],[sale_price]])^2</f>
        <v>508550837.40100878</v>
      </c>
      <c r="CA47" s="7">
        <f>(Granger_Sales[[#This Row],[final_total]]-AVERAGE(Granger_Sales[sale_price]))^2</f>
        <v>5021452734.1932249</v>
      </c>
      <c r="CB47" s="7">
        <f>Granger_Sales[[#This Row],[SSE]]+Granger_Sales[[#This Row],[SSR]]</f>
        <v>5530003571.5942335</v>
      </c>
      <c r="CC47" s="12">
        <f>ABS(Granger_Sales[[#This Row],[final_ratio]]-MEDIAN(Granger_Sales[final_ratio]))</f>
        <v>5.4062929328854703E-2</v>
      </c>
    </row>
    <row r="48" spans="1:81" x14ac:dyDescent="0.25">
      <c r="A48">
        <v>21102121476</v>
      </c>
      <c r="B48">
        <v>0.3</v>
      </c>
      <c r="C48">
        <v>13257</v>
      </c>
      <c r="D48">
        <v>0</v>
      </c>
      <c r="E48" t="s">
        <v>54</v>
      </c>
      <c r="F48" t="s">
        <v>54</v>
      </c>
      <c r="G48">
        <v>3</v>
      </c>
      <c r="H48" t="s">
        <v>55</v>
      </c>
      <c r="I48">
        <v>213100</v>
      </c>
      <c r="J48">
        <v>30400</v>
      </c>
      <c r="K48">
        <v>0.3</v>
      </c>
      <c r="L48">
        <v>0</v>
      </c>
      <c r="M48">
        <v>0</v>
      </c>
      <c r="N48">
        <v>0</v>
      </c>
      <c r="O48">
        <v>47108.068500000001</v>
      </c>
      <c r="P48">
        <v>122297.704</v>
      </c>
      <c r="Q48">
        <f>(LN(Granger_Sales[[#This Row],[parcel_acres]])*Granger_Sales[[#This Row],[coeff]])+Granger_Sales[[#This Row],[const]]</f>
        <v>65580.870661676701</v>
      </c>
      <c r="R48" t="s">
        <v>56</v>
      </c>
      <c r="S48">
        <v>1</v>
      </c>
      <c r="T48" t="s">
        <v>64</v>
      </c>
      <c r="U48" t="s">
        <v>72</v>
      </c>
      <c r="V48">
        <v>0</v>
      </c>
      <c r="W48">
        <v>0</v>
      </c>
      <c r="X48">
        <v>29</v>
      </c>
      <c r="Y48">
        <v>29</v>
      </c>
      <c r="Z48">
        <v>30</v>
      </c>
      <c r="AA48">
        <v>1500</v>
      </c>
      <c r="AB48">
        <v>1200</v>
      </c>
      <c r="AC48">
        <v>1200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408</v>
      </c>
      <c r="AK48">
        <v>8</v>
      </c>
      <c r="AL48">
        <v>0</v>
      </c>
      <c r="AM48">
        <v>0</v>
      </c>
      <c r="AN48" t="s">
        <v>59</v>
      </c>
      <c r="AO48">
        <v>1</v>
      </c>
      <c r="AP48" t="s">
        <v>76</v>
      </c>
      <c r="AQ48" t="s">
        <v>65</v>
      </c>
      <c r="AR48">
        <v>0</v>
      </c>
      <c r="AS48">
        <v>3</v>
      </c>
      <c r="AT48">
        <v>0</v>
      </c>
      <c r="AU48">
        <v>32100</v>
      </c>
      <c r="AV48">
        <v>100</v>
      </c>
      <c r="AW48" s="1">
        <v>44699</v>
      </c>
      <c r="AX48">
        <v>23600</v>
      </c>
      <c r="AY48">
        <v>193651</v>
      </c>
      <c r="AZ48">
        <v>217300</v>
      </c>
      <c r="BA48">
        <v>330000</v>
      </c>
      <c r="BB48">
        <v>228</v>
      </c>
      <c r="BC48">
        <f>Granger_Sales[[#This Row],[land_extract]]*Lookups!$B$3</f>
        <v>39068.544543977194</v>
      </c>
      <c r="BD48">
        <f>Lookups!$B$2</f>
        <v>29703.559000000001</v>
      </c>
      <c r="BE48">
        <f>VLOOKUP(Granger_Sales[[#This Row],[quality]],Lookups!$H$2:$J$12,3,FALSE)</f>
        <v>36568</v>
      </c>
      <c r="BF48">
        <f>VLOOKUP(Granger_Sales[[#This Row],[condition]],Lookups!$H$17:$J$24,3,FALSE)</f>
        <v>94106</v>
      </c>
      <c r="BG48">
        <f>Granger_Sales[[#This Row],[Age]]*Lookups!$B$16</f>
        <v>-6012.6018999999997</v>
      </c>
      <c r="BH48">
        <f>Granger_Sales[[#This Row],[living_area]]*Lookups!$B$17</f>
        <v>80727.4908</v>
      </c>
      <c r="BI48">
        <f>Granger_Sales[[#This Row],[garage_sqft]]*Lookups!$B$18</f>
        <v>0</v>
      </c>
      <c r="BJ48">
        <f>Granger_Sales[[#This Row],[Patio]]*Lookups!$B$19</f>
        <v>22160.559168</v>
      </c>
      <c r="BK48">
        <f>Granger_Sales[[#This Row],[days_prior_to_assessment]]*Lookups!$B$20</f>
        <v>-15312.84708</v>
      </c>
      <c r="BL48">
        <f>Granger_Sales[[#This Row],[land_value_1]]</f>
        <v>39068.544543977194</v>
      </c>
      <c r="BM48">
        <f>SUM(Granger_Sales[[#This Row],[Intercept]:[Days_prior_adj]])</f>
        <v>241940.159988</v>
      </c>
      <c r="BN48">
        <f>Granger_Sales[[#This Row],[detatched_value]]</f>
        <v>32100</v>
      </c>
      <c r="BO48">
        <f>SUM(Granger_Sales[[#This Row],[predicted_land]:[predicted_det]])</f>
        <v>313108.70453197719</v>
      </c>
      <c r="BP48">
        <f>Granger_Sales[[#This Row],[predicted_total]]/Granger_Sales[[#This Row],[sale_price]]</f>
        <v>0.94881425615750659</v>
      </c>
      <c r="BQ48">
        <f>VLOOKUP(Granger_Sales[[#This Row],[quality]],Lookups!$A$25:$C$35,3,FALSE)</f>
        <v>0.99049976351917957</v>
      </c>
      <c r="BR48">
        <f>VLOOKUP(Granger_Sales[[#This Row],[condition]],Lookups!$A$38:$C$45,3,FALSE)</f>
        <v>0.98658583151544277</v>
      </c>
      <c r="BS48">
        <f>VLOOKUP(Granger_Sales[[#This Row],[decade]],Lookups!$G$28:$I$42,3,FALSE)</f>
        <v>1.0539470644652671</v>
      </c>
      <c r="BT48">
        <f>VLOOKUP(Granger_Sales[[#This Row],[living_area_range]],Lookups!$A$48:$C$57,3,FALSE)</f>
        <v>0.97960506760539345</v>
      </c>
      <c r="BU48">
        <f>Granger_Sales[[#This Row],[predicted_land]]</f>
        <v>39068.544543977194</v>
      </c>
      <c r="BV48">
        <f>Granger_Sales[[#This Row],[predicted_res]]*AVERAGE(Granger_Sales[[#This Row],[qual_adj]:[living_range_adj]])</f>
        <v>242583.58333744018</v>
      </c>
      <c r="BW48">
        <f>Granger_Sales[[#This Row],[predicted_det]]</f>
        <v>32100</v>
      </c>
      <c r="BX48">
        <f>SUM(Granger_Sales[[#This Row],[final_land]:[final_det]])</f>
        <v>313752.1278814174</v>
      </c>
      <c r="BY48">
        <f>Granger_Sales[[#This Row],[final_total]]/Granger_Sales[[#This Row],[sale_price]]</f>
        <v>0.95076402388308301</v>
      </c>
      <c r="BZ48" s="7">
        <f>(Granger_Sales[[#This Row],[final_total]]-Granger_Sales[[#This Row],[sale_price]])^2</f>
        <v>263993348.38181382</v>
      </c>
      <c r="CA48" s="7">
        <f>(Granger_Sales[[#This Row],[final_total]]-AVERAGE(Granger_Sales[sale_price]))^2</f>
        <v>2721229909.848166</v>
      </c>
      <c r="CB48" s="7">
        <f>Granger_Sales[[#This Row],[SSE]]+Granger_Sales[[#This Row],[SSR]]</f>
        <v>2985223258.22998</v>
      </c>
      <c r="CC48" s="12">
        <f>ABS(Granger_Sales[[#This Row],[final_ratio]]-MEDIAN(Granger_Sales[final_ratio]))</f>
        <v>3.9774759650678115E-2</v>
      </c>
    </row>
    <row r="49" spans="1:81" x14ac:dyDescent="0.25">
      <c r="A49">
        <v>21102232436</v>
      </c>
      <c r="B49">
        <v>0.21</v>
      </c>
      <c r="C49">
        <v>9247</v>
      </c>
      <c r="D49">
        <v>0</v>
      </c>
      <c r="E49" t="s">
        <v>54</v>
      </c>
      <c r="F49" t="s">
        <v>54</v>
      </c>
      <c r="G49">
        <v>3</v>
      </c>
      <c r="H49" t="s">
        <v>55</v>
      </c>
      <c r="I49">
        <v>212600</v>
      </c>
      <c r="J49">
        <v>28300</v>
      </c>
      <c r="K49">
        <v>0.21</v>
      </c>
      <c r="L49">
        <v>0</v>
      </c>
      <c r="M49">
        <v>0</v>
      </c>
      <c r="N49">
        <v>0</v>
      </c>
      <c r="O49">
        <v>47108.068500000001</v>
      </c>
      <c r="P49">
        <v>122297.704</v>
      </c>
      <c r="Q49">
        <f>(LN(Granger_Sales[[#This Row],[parcel_acres]])*Granger_Sales[[#This Row],[coeff]])+Granger_Sales[[#This Row],[const]]</f>
        <v>48778.602970377236</v>
      </c>
      <c r="R49" t="s">
        <v>59</v>
      </c>
      <c r="S49">
        <v>2</v>
      </c>
      <c r="T49" t="s">
        <v>57</v>
      </c>
      <c r="U49" t="s">
        <v>77</v>
      </c>
      <c r="V49">
        <v>0</v>
      </c>
      <c r="W49">
        <v>0</v>
      </c>
      <c r="X49">
        <v>38</v>
      </c>
      <c r="Y49">
        <v>38</v>
      </c>
      <c r="Z49">
        <v>40</v>
      </c>
      <c r="AA49">
        <v>2000</v>
      </c>
      <c r="AB49">
        <v>1681</v>
      </c>
      <c r="AC49">
        <v>1281</v>
      </c>
      <c r="AD49">
        <v>400</v>
      </c>
      <c r="AE49">
        <v>0</v>
      </c>
      <c r="AF49">
        <v>0</v>
      </c>
      <c r="AG49">
        <v>0</v>
      </c>
      <c r="AH49">
        <v>0</v>
      </c>
      <c r="AI49">
        <v>280</v>
      </c>
      <c r="AJ49">
        <v>1464</v>
      </c>
      <c r="AK49">
        <v>8</v>
      </c>
      <c r="AL49">
        <v>0</v>
      </c>
      <c r="AM49">
        <v>0</v>
      </c>
      <c r="AN49" t="s">
        <v>75</v>
      </c>
      <c r="AO49">
        <v>1</v>
      </c>
      <c r="AP49" t="s">
        <v>63</v>
      </c>
      <c r="AQ49" t="s">
        <v>65</v>
      </c>
      <c r="AR49">
        <v>1</v>
      </c>
      <c r="AS49">
        <v>3</v>
      </c>
      <c r="AT49">
        <v>0</v>
      </c>
      <c r="AU49">
        <v>0</v>
      </c>
      <c r="AV49">
        <v>100</v>
      </c>
      <c r="AW49" s="1">
        <v>44739</v>
      </c>
      <c r="AX49">
        <v>21600</v>
      </c>
      <c r="AY49">
        <v>244799</v>
      </c>
      <c r="AZ49">
        <v>266400</v>
      </c>
      <c r="BA49">
        <v>315000</v>
      </c>
      <c r="BB49">
        <v>188</v>
      </c>
      <c r="BC49">
        <f>Granger_Sales[[#This Row],[land_extract]]*Lookups!$B$3</f>
        <v>29058.916170425207</v>
      </c>
      <c r="BD49">
        <f>Lookups!$B$2</f>
        <v>29703.559000000001</v>
      </c>
      <c r="BE49">
        <f>VLOOKUP(Granger_Sales[[#This Row],[quality]],Lookups!$H$2:$J$12,3,FALSE)</f>
        <v>56414</v>
      </c>
      <c r="BF49">
        <f>VLOOKUP(Granger_Sales[[#This Row],[condition]],Lookups!$H$17:$J$24,3,FALSE)</f>
        <v>33736</v>
      </c>
      <c r="BG49">
        <f>Granger_Sales[[#This Row],[Age]]*Lookups!$B$16</f>
        <v>-7878.5817999999999</v>
      </c>
      <c r="BH49">
        <f>Granger_Sales[[#This Row],[living_area]]*Lookups!$B$17</f>
        <v>113085.760029</v>
      </c>
      <c r="BI49">
        <f>Granger_Sales[[#This Row],[garage_sqft]]*Lookups!$B$18</f>
        <v>0</v>
      </c>
      <c r="BJ49">
        <f>Granger_Sales[[#This Row],[Patio]]*Lookups!$B$19</f>
        <v>79517.300543999998</v>
      </c>
      <c r="BK49">
        <f>Granger_Sales[[#This Row],[days_prior_to_assessment]]*Lookups!$B$20</f>
        <v>-12626.382679999999</v>
      </c>
      <c r="BL49">
        <f>Granger_Sales[[#This Row],[land_value_1]]</f>
        <v>29058.916170425207</v>
      </c>
      <c r="BM49">
        <f>SUM(Granger_Sales[[#This Row],[Intercept]:[Days_prior_adj]])</f>
        <v>291951.65509300004</v>
      </c>
      <c r="BN49">
        <f>Granger_Sales[[#This Row],[detatched_value]]</f>
        <v>0</v>
      </c>
      <c r="BO49">
        <f>SUM(Granger_Sales[[#This Row],[predicted_land]:[predicted_det]])</f>
        <v>321010.57126342523</v>
      </c>
      <c r="BP49">
        <f>Granger_Sales[[#This Row],[predicted_total]]/Granger_Sales[[#This Row],[sale_price]]</f>
        <v>1.0190811786140483</v>
      </c>
      <c r="BQ49">
        <f>VLOOKUP(Granger_Sales[[#This Row],[quality]],Lookups!$A$25:$C$35,3,FALSE)</f>
        <v>0.98791809110152173</v>
      </c>
      <c r="BR49">
        <f>VLOOKUP(Granger_Sales[[#This Row],[condition]],Lookups!$A$38:$C$45,3,FALSE)</f>
        <v>0.92294678898076177</v>
      </c>
      <c r="BS49">
        <f>VLOOKUP(Granger_Sales[[#This Row],[decade]],Lookups!$G$28:$I$42,3,FALSE)</f>
        <v>0.98127609555109363</v>
      </c>
      <c r="BT49">
        <f>VLOOKUP(Granger_Sales[[#This Row],[living_area_range]],Lookups!$A$48:$C$57,3,FALSE)</f>
        <v>0.97860968051050168</v>
      </c>
      <c r="BU49">
        <f>Granger_Sales[[#This Row],[predicted_land]]</f>
        <v>29058.916170425207</v>
      </c>
      <c r="BV49">
        <f>Granger_Sales[[#This Row],[predicted_res]]*AVERAGE(Granger_Sales[[#This Row],[qual_adj]:[living_range_adj]])</f>
        <v>282518.01512838033</v>
      </c>
      <c r="BW49">
        <f>Granger_Sales[[#This Row],[predicted_det]]</f>
        <v>0</v>
      </c>
      <c r="BX49">
        <f>SUM(Granger_Sales[[#This Row],[final_land]:[final_det]])</f>
        <v>311576.93129880552</v>
      </c>
      <c r="BY49">
        <f>Granger_Sales[[#This Row],[final_total]]/Granger_Sales[[#This Row],[sale_price]]</f>
        <v>0.98913311523430325</v>
      </c>
      <c r="BZ49" s="7">
        <f>(Granger_Sales[[#This Row],[final_total]]-Granger_Sales[[#This Row],[sale_price]])^2</f>
        <v>11717399.333097285</v>
      </c>
      <c r="CA49" s="7">
        <f>(Granger_Sales[[#This Row],[final_total]]-AVERAGE(Granger_Sales[sale_price]))^2</f>
        <v>2499021350.6747527</v>
      </c>
      <c r="CB49" s="7">
        <f>Granger_Sales[[#This Row],[SSE]]+Granger_Sales[[#This Row],[SSR]]</f>
        <v>2510738750.0078502</v>
      </c>
      <c r="CC49" s="12">
        <f>ABS(Granger_Sales[[#This Row],[final_ratio]]-MEDIAN(Granger_Sales[final_ratio]))</f>
        <v>1.405668299457874E-3</v>
      </c>
    </row>
    <row r="50" spans="1:81" x14ac:dyDescent="0.25">
      <c r="A50">
        <v>21102121457</v>
      </c>
      <c r="B50">
        <v>0.33</v>
      </c>
      <c r="C50">
        <v>14364</v>
      </c>
      <c r="D50">
        <v>0</v>
      </c>
      <c r="E50" t="s">
        <v>54</v>
      </c>
      <c r="F50" t="s">
        <v>54</v>
      </c>
      <c r="G50">
        <v>3</v>
      </c>
      <c r="H50" t="s">
        <v>55</v>
      </c>
      <c r="I50">
        <v>156300</v>
      </c>
      <c r="J50">
        <v>31000</v>
      </c>
      <c r="K50">
        <v>0.33</v>
      </c>
      <c r="L50">
        <v>0</v>
      </c>
      <c r="M50">
        <v>0</v>
      </c>
      <c r="N50">
        <v>0</v>
      </c>
      <c r="O50">
        <v>47108.068500000001</v>
      </c>
      <c r="P50">
        <v>122297.704</v>
      </c>
      <c r="Q50">
        <f>(LN(Granger_Sales[[#This Row],[parcel_acres]])*Granger_Sales[[#This Row],[coeff]])+Granger_Sales[[#This Row],[const]]</f>
        <v>70070.749140646163</v>
      </c>
      <c r="R50" t="s">
        <v>56</v>
      </c>
      <c r="S50">
        <v>1</v>
      </c>
      <c r="T50" t="s">
        <v>71</v>
      </c>
      <c r="U50" t="s">
        <v>77</v>
      </c>
      <c r="V50">
        <v>0</v>
      </c>
      <c r="W50">
        <v>0</v>
      </c>
      <c r="X50">
        <v>46</v>
      </c>
      <c r="Y50">
        <v>53</v>
      </c>
      <c r="Z50">
        <v>50</v>
      </c>
      <c r="AA50">
        <v>1500</v>
      </c>
      <c r="AB50">
        <v>1482</v>
      </c>
      <c r="AC50">
        <v>1482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6</v>
      </c>
      <c r="AL50">
        <v>0</v>
      </c>
      <c r="AM50">
        <v>0</v>
      </c>
      <c r="AN50" t="s">
        <v>59</v>
      </c>
      <c r="AO50">
        <v>1</v>
      </c>
      <c r="AP50" t="s">
        <v>60</v>
      </c>
      <c r="AQ50" t="s">
        <v>61</v>
      </c>
      <c r="AR50">
        <v>0</v>
      </c>
      <c r="AS50">
        <v>4</v>
      </c>
      <c r="AT50">
        <v>0</v>
      </c>
      <c r="AU50">
        <v>0</v>
      </c>
      <c r="AV50">
        <v>100</v>
      </c>
      <c r="AW50" s="1">
        <v>44481</v>
      </c>
      <c r="AX50">
        <v>23900</v>
      </c>
      <c r="AY50">
        <v>140298</v>
      </c>
      <c r="AZ50">
        <v>164200</v>
      </c>
      <c r="BA50">
        <v>246500</v>
      </c>
      <c r="BB50">
        <v>446</v>
      </c>
      <c r="BC50">
        <f>Granger_Sales[[#This Row],[land_extract]]*Lookups!$B$3</f>
        <v>41743.303442156452</v>
      </c>
      <c r="BD50">
        <f>Lookups!$B$2</f>
        <v>29703.559000000001</v>
      </c>
      <c r="BE50">
        <f>VLOOKUP(Granger_Sales[[#This Row],[quality]],Lookups!$H$2:$J$12,3,FALSE)</f>
        <v>34195</v>
      </c>
      <c r="BF50">
        <f>VLOOKUP(Granger_Sales[[#This Row],[condition]],Lookups!$H$17:$J$24,3,FALSE)</f>
        <v>33736</v>
      </c>
      <c r="BG50">
        <f>Granger_Sales[[#This Row],[Age]]*Lookups!$B$16</f>
        <v>-10988.5483</v>
      </c>
      <c r="BH50">
        <f>Granger_Sales[[#This Row],[living_area]]*Lookups!$B$17</f>
        <v>99698.451138000004</v>
      </c>
      <c r="BI50">
        <f>Granger_Sales[[#This Row],[garage_sqft]]*Lookups!$B$18</f>
        <v>0</v>
      </c>
      <c r="BJ50">
        <f>Granger_Sales[[#This Row],[Patio]]*Lookups!$B$19</f>
        <v>0</v>
      </c>
      <c r="BK50">
        <f>Granger_Sales[[#This Row],[days_prior_to_assessment]]*Lookups!$B$20</f>
        <v>-29954.07806</v>
      </c>
      <c r="BL50">
        <f>Granger_Sales[[#This Row],[land_value_1]]</f>
        <v>41743.303442156452</v>
      </c>
      <c r="BM50">
        <f>SUM(Granger_Sales[[#This Row],[Intercept]:[Days_prior_adj]])</f>
        <v>156390.38377800002</v>
      </c>
      <c r="BN50">
        <f>Granger_Sales[[#This Row],[detatched_value]]</f>
        <v>0</v>
      </c>
      <c r="BO50">
        <f>SUM(Granger_Sales[[#This Row],[predicted_land]:[predicted_det]])</f>
        <v>198133.68722015648</v>
      </c>
      <c r="BP50">
        <f>Granger_Sales[[#This Row],[predicted_total]]/Granger_Sales[[#This Row],[sale_price]]</f>
        <v>0.80378777776939747</v>
      </c>
      <c r="BQ50">
        <f>VLOOKUP(Granger_Sales[[#This Row],[quality]],Lookups!$A$25:$C$35,3,FALSE)</f>
        <v>0.98258795897788032</v>
      </c>
      <c r="BR50">
        <f>VLOOKUP(Granger_Sales[[#This Row],[condition]],Lookups!$A$38:$C$45,3,FALSE)</f>
        <v>0.92294678898076177</v>
      </c>
      <c r="BS50">
        <f>VLOOKUP(Granger_Sales[[#This Row],[decade]],Lookups!$G$28:$I$42,3,FALSE)</f>
        <v>1.2441094871772171</v>
      </c>
      <c r="BT50">
        <f>VLOOKUP(Granger_Sales[[#This Row],[living_area_range]],Lookups!$A$48:$C$57,3,FALSE)</f>
        <v>0.97960506760539345</v>
      </c>
      <c r="BU50">
        <f>Granger_Sales[[#This Row],[predicted_land]]</f>
        <v>41743.303442156452</v>
      </c>
      <c r="BV50">
        <f>Granger_Sales[[#This Row],[predicted_res]]*AVERAGE(Granger_Sales[[#This Row],[qual_adj]:[living_range_adj]])</f>
        <v>161443.72079268587</v>
      </c>
      <c r="BW50">
        <f>Granger_Sales[[#This Row],[predicted_det]]</f>
        <v>0</v>
      </c>
      <c r="BX50">
        <f>SUM(Granger_Sales[[#This Row],[final_land]:[final_det]])</f>
        <v>203187.02423484233</v>
      </c>
      <c r="BY50">
        <f>Granger_Sales[[#This Row],[final_total]]/Granger_Sales[[#This Row],[sale_price]]</f>
        <v>0.82428813077015151</v>
      </c>
      <c r="BZ50" s="7">
        <f>(Granger_Sales[[#This Row],[final_total]]-Granger_Sales[[#This Row],[sale_price]])^2</f>
        <v>1876013869.6331353</v>
      </c>
      <c r="CA50" s="7">
        <f>(Granger_Sales[[#This Row],[final_total]]-AVERAGE(Granger_Sales[sale_price]))^2</f>
        <v>3410524319.4637365</v>
      </c>
      <c r="CB50" s="7">
        <f>Granger_Sales[[#This Row],[SSE]]+Granger_Sales[[#This Row],[SSR]]</f>
        <v>5286538189.0968723</v>
      </c>
      <c r="CC50" s="12">
        <f>ABS(Granger_Sales[[#This Row],[final_ratio]]-MEDIAN(Granger_Sales[final_ratio]))</f>
        <v>0.16625065276360962</v>
      </c>
    </row>
    <row r="51" spans="1:81" x14ac:dyDescent="0.25">
      <c r="A51">
        <v>21102121462</v>
      </c>
      <c r="B51">
        <v>0.35</v>
      </c>
      <c r="C51">
        <v>15176</v>
      </c>
      <c r="D51">
        <v>0</v>
      </c>
      <c r="E51" t="s">
        <v>54</v>
      </c>
      <c r="F51" t="s">
        <v>54</v>
      </c>
      <c r="G51">
        <v>3</v>
      </c>
      <c r="H51" t="s">
        <v>55</v>
      </c>
      <c r="I51">
        <v>202900</v>
      </c>
      <c r="J51">
        <v>31300</v>
      </c>
      <c r="K51">
        <v>0.35</v>
      </c>
      <c r="L51">
        <v>0</v>
      </c>
      <c r="M51">
        <v>0</v>
      </c>
      <c r="N51">
        <v>0</v>
      </c>
      <c r="O51">
        <v>47108.068500000001</v>
      </c>
      <c r="P51">
        <v>122297.704</v>
      </c>
      <c r="Q51">
        <f>(LN(Granger_Sales[[#This Row],[parcel_acres]])*Granger_Sales[[#This Row],[coeff]])+Granger_Sales[[#This Row],[const]]</f>
        <v>72842.611446300754</v>
      </c>
      <c r="R51" t="s">
        <v>56</v>
      </c>
      <c r="S51">
        <v>1</v>
      </c>
      <c r="T51" t="s">
        <v>71</v>
      </c>
      <c r="U51" t="s">
        <v>72</v>
      </c>
      <c r="V51">
        <v>0</v>
      </c>
      <c r="W51">
        <v>0</v>
      </c>
      <c r="X51">
        <v>46</v>
      </c>
      <c r="Y51">
        <v>55</v>
      </c>
      <c r="Z51">
        <v>60</v>
      </c>
      <c r="AA51">
        <v>1500</v>
      </c>
      <c r="AB51">
        <v>1482</v>
      </c>
      <c r="AC51">
        <v>1482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5</v>
      </c>
      <c r="AL51">
        <v>0</v>
      </c>
      <c r="AM51">
        <v>0</v>
      </c>
      <c r="AN51" t="s">
        <v>59</v>
      </c>
      <c r="AO51">
        <v>1</v>
      </c>
      <c r="AP51" t="s">
        <v>60</v>
      </c>
      <c r="AQ51" t="s">
        <v>61</v>
      </c>
      <c r="AR51">
        <v>0</v>
      </c>
      <c r="AS51">
        <v>4</v>
      </c>
      <c r="AT51">
        <v>0</v>
      </c>
      <c r="AU51">
        <v>0</v>
      </c>
      <c r="AV51">
        <v>100</v>
      </c>
      <c r="AW51" s="1">
        <v>44728</v>
      </c>
      <c r="AX51">
        <v>24100</v>
      </c>
      <c r="AY51">
        <v>149357</v>
      </c>
      <c r="AZ51">
        <v>173500</v>
      </c>
      <c r="BA51">
        <v>271000</v>
      </c>
      <c r="BB51">
        <v>199</v>
      </c>
      <c r="BC51">
        <f>Granger_Sales[[#This Row],[land_extract]]*Lookups!$B$3</f>
        <v>43394.587190993909</v>
      </c>
      <c r="BD51">
        <f>Lookups!$B$2</f>
        <v>29703.559000000001</v>
      </c>
      <c r="BE51">
        <f>VLOOKUP(Granger_Sales[[#This Row],[quality]],Lookups!$H$2:$J$12,3,FALSE)</f>
        <v>34195</v>
      </c>
      <c r="BF51">
        <f>VLOOKUP(Granger_Sales[[#This Row],[condition]],Lookups!$H$17:$J$24,3,FALSE)</f>
        <v>94106</v>
      </c>
      <c r="BG51">
        <f>Granger_Sales[[#This Row],[Age]]*Lookups!$B$16</f>
        <v>-11403.210499999999</v>
      </c>
      <c r="BH51">
        <f>Granger_Sales[[#This Row],[living_area]]*Lookups!$B$17</f>
        <v>99698.451138000004</v>
      </c>
      <c r="BI51">
        <f>Granger_Sales[[#This Row],[garage_sqft]]*Lookups!$B$18</f>
        <v>0</v>
      </c>
      <c r="BJ51">
        <f>Granger_Sales[[#This Row],[Patio]]*Lookups!$B$19</f>
        <v>0</v>
      </c>
      <c r="BK51">
        <f>Granger_Sales[[#This Row],[days_prior_to_assessment]]*Lookups!$B$20</f>
        <v>-13365.160389999999</v>
      </c>
      <c r="BL51">
        <f>Granger_Sales[[#This Row],[land_value_1]]</f>
        <v>43394.587190993909</v>
      </c>
      <c r="BM51">
        <f>SUM(Granger_Sales[[#This Row],[Intercept]:[Days_prior_adj]])</f>
        <v>232934.63924800002</v>
      </c>
      <c r="BN51">
        <f>Granger_Sales[[#This Row],[detatched_value]]</f>
        <v>0</v>
      </c>
      <c r="BO51">
        <f>SUM(Granger_Sales[[#This Row],[predicted_land]:[predicted_det]])</f>
        <v>276329.22643899394</v>
      </c>
      <c r="BP51">
        <f>Granger_Sales[[#This Row],[predicted_total]]/Granger_Sales[[#This Row],[sale_price]]</f>
        <v>1.0196650422103097</v>
      </c>
      <c r="BQ51">
        <f>VLOOKUP(Granger_Sales[[#This Row],[quality]],Lookups!$A$25:$C$35,3,FALSE)</f>
        <v>0.98258795897788032</v>
      </c>
      <c r="BR51">
        <f>VLOOKUP(Granger_Sales[[#This Row],[condition]],Lookups!$A$38:$C$45,3,FALSE)</f>
        <v>0.98658583151544277</v>
      </c>
      <c r="BS51">
        <f>VLOOKUP(Granger_Sales[[#This Row],[decade]],Lookups!$G$28:$I$42,3,FALSE)</f>
        <v>0.86581421791274704</v>
      </c>
      <c r="BT51">
        <f>VLOOKUP(Granger_Sales[[#This Row],[living_area_range]],Lookups!$A$48:$C$57,3,FALSE)</f>
        <v>0.97960506760539345</v>
      </c>
      <c r="BU51">
        <f>Granger_Sales[[#This Row],[predicted_land]]</f>
        <v>43394.587190993909</v>
      </c>
      <c r="BV51">
        <f>Granger_Sales[[#This Row],[predicted_res]]*AVERAGE(Granger_Sales[[#This Row],[qual_adj]:[living_range_adj]])</f>
        <v>222137.71550966226</v>
      </c>
      <c r="BW51">
        <f>Granger_Sales[[#This Row],[predicted_det]]</f>
        <v>0</v>
      </c>
      <c r="BX51">
        <f>SUM(Granger_Sales[[#This Row],[final_land]:[final_det]])</f>
        <v>265532.30270065618</v>
      </c>
      <c r="BY51">
        <f>Granger_Sales[[#This Row],[final_total]]/Granger_Sales[[#This Row],[sale_price]]</f>
        <v>0.97982399520537333</v>
      </c>
      <c r="BZ51" s="7">
        <f>(Granger_Sales[[#This Row],[final_total]]-Granger_Sales[[#This Row],[sale_price]])^2</f>
        <v>29895713.757251754</v>
      </c>
      <c r="CA51" s="7">
        <f>(Granger_Sales[[#This Row],[final_total]]-AVERAGE(Granger_Sales[sale_price]))^2</f>
        <v>15567632.71167559</v>
      </c>
      <c r="CB51" s="7">
        <f>Granger_Sales[[#This Row],[SSE]]+Granger_Sales[[#This Row],[SSR]]</f>
        <v>45463346.468927346</v>
      </c>
      <c r="CC51" s="12">
        <f>ABS(Granger_Sales[[#This Row],[final_ratio]]-MEDIAN(Granger_Sales[final_ratio]))</f>
        <v>1.0714788328387792E-2</v>
      </c>
    </row>
    <row r="52" spans="1:81" x14ac:dyDescent="0.25">
      <c r="A52">
        <v>21102112437</v>
      </c>
      <c r="B52">
        <v>0.24</v>
      </c>
      <c r="C52">
        <v>10646</v>
      </c>
      <c r="D52">
        <v>0</v>
      </c>
      <c r="E52" t="s">
        <v>54</v>
      </c>
      <c r="F52" t="s">
        <v>54</v>
      </c>
      <c r="G52">
        <v>3</v>
      </c>
      <c r="H52" t="s">
        <v>55</v>
      </c>
      <c r="I52">
        <v>231800</v>
      </c>
      <c r="J52">
        <v>29100</v>
      </c>
      <c r="K52">
        <v>0.24</v>
      </c>
      <c r="L52">
        <v>0</v>
      </c>
      <c r="M52">
        <v>0</v>
      </c>
      <c r="N52">
        <v>0</v>
      </c>
      <c r="O52">
        <v>47108.068500000001</v>
      </c>
      <c r="P52">
        <v>122297.704</v>
      </c>
      <c r="Q52">
        <f>(LN(Granger_Sales[[#This Row],[parcel_acres]])*Granger_Sales[[#This Row],[coeff]])+Granger_Sales[[#This Row],[const]]</f>
        <v>55069.008961033644</v>
      </c>
      <c r="R52" t="s">
        <v>56</v>
      </c>
      <c r="S52">
        <v>1</v>
      </c>
      <c r="T52" t="s">
        <v>61</v>
      </c>
      <c r="U52" t="s">
        <v>77</v>
      </c>
      <c r="V52">
        <v>0</v>
      </c>
      <c r="W52">
        <v>0</v>
      </c>
      <c r="X52">
        <v>47</v>
      </c>
      <c r="Y52">
        <v>58</v>
      </c>
      <c r="Z52">
        <v>60</v>
      </c>
      <c r="AA52">
        <v>1500</v>
      </c>
      <c r="AB52">
        <v>1373</v>
      </c>
      <c r="AC52">
        <v>1373</v>
      </c>
      <c r="AD52">
        <v>0</v>
      </c>
      <c r="AE52">
        <v>0</v>
      </c>
      <c r="AF52">
        <v>0</v>
      </c>
      <c r="AG52">
        <v>800</v>
      </c>
      <c r="AH52">
        <v>0</v>
      </c>
      <c r="AI52">
        <v>0</v>
      </c>
      <c r="AJ52">
        <v>68</v>
      </c>
      <c r="AK52">
        <v>8</v>
      </c>
      <c r="AL52">
        <v>0</v>
      </c>
      <c r="AM52">
        <v>1</v>
      </c>
      <c r="AN52" t="s">
        <v>59</v>
      </c>
      <c r="AO52">
        <v>1</v>
      </c>
      <c r="AP52" t="s">
        <v>67</v>
      </c>
      <c r="AQ52" t="s">
        <v>65</v>
      </c>
      <c r="AR52">
        <v>1</v>
      </c>
      <c r="AS52">
        <v>3</v>
      </c>
      <c r="AT52">
        <v>0</v>
      </c>
      <c r="AU52">
        <v>0</v>
      </c>
      <c r="AV52">
        <v>100</v>
      </c>
      <c r="AW52" s="1">
        <v>44627</v>
      </c>
      <c r="AX52">
        <v>22400</v>
      </c>
      <c r="AY52">
        <v>234632</v>
      </c>
      <c r="AZ52">
        <v>257000</v>
      </c>
      <c r="BA52">
        <v>240000</v>
      </c>
      <c r="BB52">
        <v>300</v>
      </c>
      <c r="BC52">
        <f>Granger_Sales[[#This Row],[land_extract]]*Lookups!$B$3</f>
        <v>32806.304763563741</v>
      </c>
      <c r="BD52">
        <f>Lookups!$B$2</f>
        <v>29703.559000000001</v>
      </c>
      <c r="BE52">
        <f>VLOOKUP(Granger_Sales[[#This Row],[quality]],Lookups!$H$2:$J$12,3,FALSE)</f>
        <v>71767</v>
      </c>
      <c r="BF52">
        <f>VLOOKUP(Granger_Sales[[#This Row],[condition]],Lookups!$H$17:$J$24,3,FALSE)</f>
        <v>33736</v>
      </c>
      <c r="BG52">
        <f>Granger_Sales[[#This Row],[Age]]*Lookups!$B$16</f>
        <v>-12025.203799999999</v>
      </c>
      <c r="BH52">
        <f>Granger_Sales[[#This Row],[living_area]]*Lookups!$B$17</f>
        <v>92365.704056999995</v>
      </c>
      <c r="BI52">
        <f>Granger_Sales[[#This Row],[garage_sqft]]*Lookups!$B$18</f>
        <v>38758.068800000001</v>
      </c>
      <c r="BJ52">
        <f>Granger_Sales[[#This Row],[Patio]]*Lookups!$B$19</f>
        <v>3693.426528</v>
      </c>
      <c r="BK52">
        <f>Granger_Sales[[#This Row],[days_prior_to_assessment]]*Lookups!$B$20</f>
        <v>-20148.483</v>
      </c>
      <c r="BL52">
        <f>Granger_Sales[[#This Row],[land_value_1]]</f>
        <v>32806.304763563741</v>
      </c>
      <c r="BM52">
        <f>SUM(Granger_Sales[[#This Row],[Intercept]:[Days_prior_adj]])</f>
        <v>237850.071585</v>
      </c>
      <c r="BN52">
        <f>Granger_Sales[[#This Row],[detatched_value]]</f>
        <v>0</v>
      </c>
      <c r="BO52">
        <f>SUM(Granger_Sales[[#This Row],[predicted_land]:[predicted_det]])</f>
        <v>270656.37634856376</v>
      </c>
      <c r="BP52">
        <f>Granger_Sales[[#This Row],[predicted_total]]/Granger_Sales[[#This Row],[sale_price]]</f>
        <v>1.127734901452349</v>
      </c>
      <c r="BQ52">
        <f>VLOOKUP(Granger_Sales[[#This Row],[quality]],Lookups!$A$25:$C$35,3,FALSE)</f>
        <v>0.992092799099482</v>
      </c>
      <c r="BR52">
        <f>VLOOKUP(Granger_Sales[[#This Row],[condition]],Lookups!$A$38:$C$45,3,FALSE)</f>
        <v>0.92294678898076177</v>
      </c>
      <c r="BS52">
        <f>VLOOKUP(Granger_Sales[[#This Row],[decade]],Lookups!$G$28:$I$42,3,FALSE)</f>
        <v>0.86581421791274704</v>
      </c>
      <c r="BT52">
        <f>VLOOKUP(Granger_Sales[[#This Row],[living_area_range]],Lookups!$A$48:$C$57,3,FALSE)</f>
        <v>0.97960506760539345</v>
      </c>
      <c r="BU52">
        <f>Granger_Sales[[#This Row],[predicted_land]]</f>
        <v>32806.304763563741</v>
      </c>
      <c r="BV52">
        <f>Granger_Sales[[#This Row],[predicted_res]]*AVERAGE(Granger_Sales[[#This Row],[qual_adj]:[living_range_adj]])</f>
        <v>223606.35306945606</v>
      </c>
      <c r="BW52">
        <f>Granger_Sales[[#This Row],[predicted_det]]</f>
        <v>0</v>
      </c>
      <c r="BX52">
        <f>SUM(Granger_Sales[[#This Row],[final_land]:[final_det]])</f>
        <v>256412.6578330198</v>
      </c>
      <c r="BY52">
        <f>Granger_Sales[[#This Row],[final_total]]/Granger_Sales[[#This Row],[sale_price]]</f>
        <v>1.0683860743042493</v>
      </c>
      <c r="BZ52" s="7">
        <f>(Granger_Sales[[#This Row],[final_total]]-Granger_Sales[[#This Row],[sale_price]])^2</f>
        <v>269375337.14378607</v>
      </c>
      <c r="CA52" s="7">
        <f>(Granger_Sales[[#This Row],[final_total]]-AVERAGE(Granger_Sales[sale_price]))^2</f>
        <v>26770906.372622035</v>
      </c>
      <c r="CB52" s="7">
        <f>Granger_Sales[[#This Row],[SSE]]+Granger_Sales[[#This Row],[SSR]]</f>
        <v>296146243.51640809</v>
      </c>
      <c r="CC52" s="12">
        <f>ABS(Granger_Sales[[#This Row],[final_ratio]]-MEDIAN(Granger_Sales[final_ratio]))</f>
        <v>7.7847290770488131E-2</v>
      </c>
    </row>
    <row r="53" spans="1:81" x14ac:dyDescent="0.25">
      <c r="A53">
        <v>21102232440</v>
      </c>
      <c r="B53">
        <v>0.27</v>
      </c>
      <c r="C53">
        <v>11953</v>
      </c>
      <c r="D53">
        <v>0</v>
      </c>
      <c r="E53" t="s">
        <v>54</v>
      </c>
      <c r="F53" t="s">
        <v>54</v>
      </c>
      <c r="G53">
        <v>3</v>
      </c>
      <c r="H53" t="s">
        <v>55</v>
      </c>
      <c r="I53">
        <v>60400</v>
      </c>
      <c r="J53">
        <v>29800</v>
      </c>
      <c r="K53">
        <v>0.27</v>
      </c>
      <c r="L53">
        <v>0</v>
      </c>
      <c r="M53">
        <v>0</v>
      </c>
      <c r="N53">
        <v>0</v>
      </c>
      <c r="O53">
        <v>47108.068500000001</v>
      </c>
      <c r="P53">
        <v>122297.704</v>
      </c>
      <c r="Q53">
        <f>(LN(Granger_Sales[[#This Row],[parcel_acres]])*Granger_Sales[[#This Row],[coeff]])+Granger_Sales[[#This Row],[const]]</f>
        <v>60617.540272872509</v>
      </c>
      <c r="R53" t="s">
        <v>56</v>
      </c>
      <c r="S53">
        <v>1</v>
      </c>
      <c r="T53" t="s">
        <v>78</v>
      </c>
      <c r="U53" t="s">
        <v>79</v>
      </c>
      <c r="V53">
        <v>0</v>
      </c>
      <c r="W53">
        <v>0</v>
      </c>
      <c r="X53">
        <v>47</v>
      </c>
      <c r="Y53">
        <v>58</v>
      </c>
      <c r="Z53">
        <v>60</v>
      </c>
      <c r="AA53">
        <v>1000</v>
      </c>
      <c r="AB53">
        <v>922</v>
      </c>
      <c r="AC53">
        <v>922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5</v>
      </c>
      <c r="AL53">
        <v>0</v>
      </c>
      <c r="AM53">
        <v>0</v>
      </c>
      <c r="AN53" t="s">
        <v>59</v>
      </c>
      <c r="AO53">
        <v>1</v>
      </c>
      <c r="AP53" t="s">
        <v>68</v>
      </c>
      <c r="AQ53" t="s">
        <v>65</v>
      </c>
      <c r="AR53">
        <v>0</v>
      </c>
      <c r="AS53">
        <v>3</v>
      </c>
      <c r="AT53">
        <v>0</v>
      </c>
      <c r="AU53">
        <v>0</v>
      </c>
      <c r="AV53">
        <v>100</v>
      </c>
      <c r="AW53" s="1">
        <v>43922</v>
      </c>
      <c r="AX53">
        <v>22900</v>
      </c>
      <c r="AY53">
        <v>74588</v>
      </c>
      <c r="AZ53">
        <v>97500</v>
      </c>
      <c r="BA53">
        <v>129900</v>
      </c>
      <c r="BB53">
        <v>1005</v>
      </c>
      <c r="BC53">
        <f>Granger_Sales[[#This Row],[land_extract]]*Lookups!$B$3</f>
        <v>36111.735760790558</v>
      </c>
      <c r="BD53">
        <f>Lookups!$B$2</f>
        <v>29703.559000000001</v>
      </c>
      <c r="BE53">
        <f>VLOOKUP(Granger_Sales[[#This Row],[quality]],Lookups!$H$2:$J$12,3,FALSE)</f>
        <v>23737.786340274597</v>
      </c>
      <c r="BF53">
        <f>VLOOKUP(Granger_Sales[[#This Row],[condition]],Lookups!$H$17:$J$24,3,FALSE)</f>
        <v>86727</v>
      </c>
      <c r="BG53">
        <f>Granger_Sales[[#This Row],[Age]]*Lookups!$B$16</f>
        <v>-12025.203799999999</v>
      </c>
      <c r="BH53">
        <f>Granger_Sales[[#This Row],[living_area]]*Lookups!$B$17</f>
        <v>62025.622098</v>
      </c>
      <c r="BI53">
        <f>Granger_Sales[[#This Row],[garage_sqft]]*Lookups!$B$18</f>
        <v>0</v>
      </c>
      <c r="BJ53">
        <f>Granger_Sales[[#This Row],[Patio]]*Lookups!$B$19</f>
        <v>0</v>
      </c>
      <c r="BK53">
        <f>Granger_Sales[[#This Row],[days_prior_to_assessment]]*Lookups!$B$20</f>
        <v>-67497.418049999993</v>
      </c>
      <c r="BL53">
        <f>Granger_Sales[[#This Row],[land_value_1]]</f>
        <v>36111.735760790558</v>
      </c>
      <c r="BM53">
        <f>SUM(Granger_Sales[[#This Row],[Intercept]:[Days_prior_adj]])</f>
        <v>122671.34558827461</v>
      </c>
      <c r="BN53">
        <f>Granger_Sales[[#This Row],[detatched_value]]</f>
        <v>0</v>
      </c>
      <c r="BO53">
        <f>SUM(Granger_Sales[[#This Row],[predicted_land]:[predicted_det]])</f>
        <v>158783.08134906518</v>
      </c>
      <c r="BP53">
        <f>Granger_Sales[[#This Row],[predicted_total]]/Granger_Sales[[#This Row],[sale_price]]</f>
        <v>1.2223485862129728</v>
      </c>
      <c r="BQ53">
        <f>VLOOKUP(Granger_Sales[[#This Row],[quality]],Lookups!$A$25:$C$35,3,FALSE)</f>
        <v>0.77695375541795109</v>
      </c>
      <c r="BR53">
        <f>VLOOKUP(Granger_Sales[[#This Row],[condition]],Lookups!$A$38:$C$45,3,FALSE)</f>
        <v>0.85322907131620684</v>
      </c>
      <c r="BS53">
        <f>VLOOKUP(Granger_Sales[[#This Row],[decade]],Lookups!$G$28:$I$42,3,FALSE)</f>
        <v>0.86581421791274704</v>
      </c>
      <c r="BT53">
        <f>VLOOKUP(Granger_Sales[[#This Row],[living_area_range]],Lookups!$A$48:$C$57,3,FALSE)</f>
        <v>0.81272404900450645</v>
      </c>
      <c r="BU53">
        <f>Granger_Sales[[#This Row],[predicted_land]]</f>
        <v>36111.735760790558</v>
      </c>
      <c r="BV53">
        <f>Granger_Sales[[#This Row],[predicted_res]]*AVERAGE(Granger_Sales[[#This Row],[qual_adj]:[living_range_adj]])</f>
        <v>101471.31718363155</v>
      </c>
      <c r="BW53">
        <f>Granger_Sales[[#This Row],[predicted_det]]</f>
        <v>0</v>
      </c>
      <c r="BX53">
        <f>SUM(Granger_Sales[[#This Row],[final_land]:[final_det]])</f>
        <v>137583.05294442212</v>
      </c>
      <c r="BY53">
        <f>Granger_Sales[[#This Row],[final_total]]/Granger_Sales[[#This Row],[sale_price]]</f>
        <v>1.059145904114104</v>
      </c>
      <c r="BZ53" s="7">
        <f>(Granger_Sales[[#This Row],[final_total]]-Granger_Sales[[#This Row],[sale_price]])^2</f>
        <v>59029302.546793371</v>
      </c>
      <c r="CA53" s="7">
        <f>(Granger_Sales[[#This Row],[final_total]]-AVERAGE(Granger_Sales[sale_price]))^2</f>
        <v>15376909133.221445</v>
      </c>
      <c r="CB53" s="7">
        <f>Granger_Sales[[#This Row],[SSE]]+Granger_Sales[[#This Row],[SSR]]</f>
        <v>15435938435.768238</v>
      </c>
      <c r="CC53" s="12">
        <f>ABS(Granger_Sales[[#This Row],[final_ratio]]-MEDIAN(Granger_Sales[final_ratio]))</f>
        <v>6.8607120580342906E-2</v>
      </c>
    </row>
    <row r="54" spans="1:81" x14ac:dyDescent="0.25">
      <c r="A54">
        <v>21102112478</v>
      </c>
      <c r="B54">
        <v>0.28999999999999998</v>
      </c>
      <c r="C54">
        <v>12835</v>
      </c>
      <c r="D54">
        <v>0</v>
      </c>
      <c r="E54" t="s">
        <v>54</v>
      </c>
      <c r="F54" t="s">
        <v>54</v>
      </c>
      <c r="G54">
        <v>3</v>
      </c>
      <c r="H54" t="s">
        <v>55</v>
      </c>
      <c r="I54">
        <v>179400</v>
      </c>
      <c r="J54">
        <v>30200</v>
      </c>
      <c r="K54">
        <v>0.28999999999999998</v>
      </c>
      <c r="L54">
        <v>0</v>
      </c>
      <c r="M54">
        <v>0</v>
      </c>
      <c r="N54">
        <v>0</v>
      </c>
      <c r="O54">
        <v>47108.068500000001</v>
      </c>
      <c r="P54">
        <v>122297.704</v>
      </c>
      <c r="Q54">
        <f>(LN(Granger_Sales[[#This Row],[parcel_acres]])*Granger_Sales[[#This Row],[coeff]])+Granger_Sales[[#This Row],[const]]</f>
        <v>63983.834043082417</v>
      </c>
      <c r="R54" t="s">
        <v>56</v>
      </c>
      <c r="S54">
        <v>1</v>
      </c>
      <c r="T54" t="s">
        <v>64</v>
      </c>
      <c r="U54" t="s">
        <v>77</v>
      </c>
      <c r="V54">
        <v>0</v>
      </c>
      <c r="W54">
        <v>0</v>
      </c>
      <c r="X54">
        <v>48</v>
      </c>
      <c r="Y54">
        <v>63</v>
      </c>
      <c r="Z54">
        <v>60</v>
      </c>
      <c r="AA54">
        <v>2000</v>
      </c>
      <c r="AB54">
        <v>1714</v>
      </c>
      <c r="AC54">
        <v>1374</v>
      </c>
      <c r="AD54">
        <v>0</v>
      </c>
      <c r="AE54">
        <v>340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9</v>
      </c>
      <c r="AL54">
        <v>0</v>
      </c>
      <c r="AM54">
        <v>0</v>
      </c>
      <c r="AN54" t="s">
        <v>59</v>
      </c>
      <c r="AO54">
        <v>1</v>
      </c>
      <c r="AP54" t="s">
        <v>60</v>
      </c>
      <c r="AQ54" t="s">
        <v>65</v>
      </c>
      <c r="AR54">
        <v>0</v>
      </c>
      <c r="AS54">
        <v>3</v>
      </c>
      <c r="AT54">
        <v>0</v>
      </c>
      <c r="AU54">
        <v>0</v>
      </c>
      <c r="AV54">
        <v>100</v>
      </c>
      <c r="AW54" s="1">
        <v>43861</v>
      </c>
      <c r="AX54">
        <v>23400</v>
      </c>
      <c r="AY54">
        <v>162186</v>
      </c>
      <c r="AZ54">
        <v>185600</v>
      </c>
      <c r="BA54">
        <v>135000</v>
      </c>
      <c r="BB54">
        <v>1066</v>
      </c>
      <c r="BC54">
        <f>Granger_Sales[[#This Row],[land_extract]]*Lookups!$B$3</f>
        <v>38117.140641552724</v>
      </c>
      <c r="BD54">
        <f>Lookups!$B$2</f>
        <v>29703.559000000001</v>
      </c>
      <c r="BE54">
        <f>VLOOKUP(Granger_Sales[[#This Row],[quality]],Lookups!$H$2:$J$12,3,FALSE)</f>
        <v>36568</v>
      </c>
      <c r="BF54">
        <f>VLOOKUP(Granger_Sales[[#This Row],[condition]],Lookups!$H$17:$J$24,3,FALSE)</f>
        <v>33736</v>
      </c>
      <c r="BG54">
        <f>Granger_Sales[[#This Row],[Age]]*Lookups!$B$16</f>
        <v>-13061.8593</v>
      </c>
      <c r="BH54">
        <f>Granger_Sales[[#This Row],[living_area]]*Lookups!$B$17</f>
        <v>115305.766026</v>
      </c>
      <c r="BI54">
        <f>Granger_Sales[[#This Row],[garage_sqft]]*Lookups!$B$18</f>
        <v>0</v>
      </c>
      <c r="BJ54">
        <f>Granger_Sales[[#This Row],[Patio]]*Lookups!$B$19</f>
        <v>0</v>
      </c>
      <c r="BK54">
        <f>Granger_Sales[[#This Row],[days_prior_to_assessment]]*Lookups!$B$20</f>
        <v>-71594.276259999999</v>
      </c>
      <c r="BL54">
        <f>Granger_Sales[[#This Row],[land_value_1]]</f>
        <v>38117.140641552724</v>
      </c>
      <c r="BM54">
        <f>SUM(Granger_Sales[[#This Row],[Intercept]:[Days_prior_adj]])</f>
        <v>130657.18946600003</v>
      </c>
      <c r="BN54">
        <f>Granger_Sales[[#This Row],[detatched_value]]</f>
        <v>0</v>
      </c>
      <c r="BO54">
        <f>SUM(Granger_Sales[[#This Row],[predicted_land]:[predicted_det]])</f>
        <v>168774.33010755276</v>
      </c>
      <c r="BP54">
        <f>Granger_Sales[[#This Row],[predicted_total]]/Granger_Sales[[#This Row],[sale_price]]</f>
        <v>1.2501802230189094</v>
      </c>
      <c r="BQ54">
        <f>VLOOKUP(Granger_Sales[[#This Row],[quality]],Lookups!$A$25:$C$35,3,FALSE)</f>
        <v>0.99049976351917957</v>
      </c>
      <c r="BR54">
        <f>VLOOKUP(Granger_Sales[[#This Row],[condition]],Lookups!$A$38:$C$45,3,FALSE)</f>
        <v>0.92294678898076177</v>
      </c>
      <c r="BS54">
        <f>VLOOKUP(Granger_Sales[[#This Row],[decade]],Lookups!$G$28:$I$42,3,FALSE)</f>
        <v>0.86581421791274704</v>
      </c>
      <c r="BT54">
        <f>VLOOKUP(Granger_Sales[[#This Row],[living_area_range]],Lookups!$A$48:$C$57,3,FALSE)</f>
        <v>0.97860968051050168</v>
      </c>
      <c r="BU54">
        <f>Granger_Sales[[#This Row],[predicted_land]]</f>
        <v>38117.140641552724</v>
      </c>
      <c r="BV54">
        <f>Granger_Sales[[#This Row],[predicted_res]]*AVERAGE(Granger_Sales[[#This Row],[qual_adj]:[living_range_adj]])</f>
        <v>122748.19787373855</v>
      </c>
      <c r="BW54">
        <f>Granger_Sales[[#This Row],[predicted_det]]</f>
        <v>0</v>
      </c>
      <c r="BX54">
        <f>SUM(Granger_Sales[[#This Row],[final_land]:[final_det]])</f>
        <v>160865.33851529128</v>
      </c>
      <c r="BY54">
        <f>Granger_Sales[[#This Row],[final_total]]/Granger_Sales[[#This Row],[sale_price]]</f>
        <v>1.1915951001132687</v>
      </c>
      <c r="BZ54" s="7">
        <f>(Granger_Sales[[#This Row],[final_total]]-Granger_Sales[[#This Row],[sale_price]])^2</f>
        <v>669015736.51061058</v>
      </c>
      <c r="CA54" s="7">
        <f>(Granger_Sales[[#This Row],[final_total]]-AVERAGE(Granger_Sales[sale_price]))^2</f>
        <v>10144796436.384771</v>
      </c>
      <c r="CB54" s="7">
        <f>Granger_Sales[[#This Row],[SSE]]+Granger_Sales[[#This Row],[SSR]]</f>
        <v>10813812172.895382</v>
      </c>
      <c r="CC54" s="12">
        <f>ABS(Granger_Sales[[#This Row],[final_ratio]]-MEDIAN(Granger_Sales[final_ratio]))</f>
        <v>0.20105631657950762</v>
      </c>
    </row>
    <row r="55" spans="1:81" x14ac:dyDescent="0.25">
      <c r="A55">
        <v>21101533008</v>
      </c>
      <c r="B55">
        <v>0.22</v>
      </c>
      <c r="C55">
        <v>9378</v>
      </c>
      <c r="D55">
        <v>0</v>
      </c>
      <c r="E55" t="s">
        <v>54</v>
      </c>
      <c r="F55" t="s">
        <v>54</v>
      </c>
      <c r="G55">
        <v>3</v>
      </c>
      <c r="H55" t="s">
        <v>55</v>
      </c>
      <c r="I55">
        <v>173700</v>
      </c>
      <c r="J55">
        <v>26700</v>
      </c>
      <c r="K55">
        <v>0.22</v>
      </c>
      <c r="L55">
        <v>0</v>
      </c>
      <c r="M55">
        <v>0</v>
      </c>
      <c r="N55">
        <v>0</v>
      </c>
      <c r="O55">
        <v>47108.068500000001</v>
      </c>
      <c r="P55">
        <v>122297.704</v>
      </c>
      <c r="Q55">
        <f>(LN(Granger_Sales[[#This Row],[parcel_acres]])*Granger_Sales[[#This Row],[coeff]])+Granger_Sales[[#This Row],[const]]</f>
        <v>50970.071053526844</v>
      </c>
      <c r="R55" t="s">
        <v>69</v>
      </c>
      <c r="S55">
        <v>1</v>
      </c>
      <c r="T55" t="s">
        <v>71</v>
      </c>
      <c r="U55" t="s">
        <v>77</v>
      </c>
      <c r="V55">
        <v>0</v>
      </c>
      <c r="W55">
        <v>0</v>
      </c>
      <c r="X55">
        <v>50</v>
      </c>
      <c r="Y55">
        <v>73</v>
      </c>
      <c r="Z55">
        <v>70</v>
      </c>
      <c r="AA55">
        <v>2000</v>
      </c>
      <c r="AB55">
        <v>1596</v>
      </c>
      <c r="AC55">
        <v>1596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8</v>
      </c>
      <c r="AL55">
        <v>0</v>
      </c>
      <c r="AM55">
        <v>0</v>
      </c>
      <c r="AN55" t="s">
        <v>59</v>
      </c>
      <c r="AO55">
        <v>1</v>
      </c>
      <c r="AP55" t="s">
        <v>60</v>
      </c>
      <c r="AQ55" t="s">
        <v>61</v>
      </c>
      <c r="AR55">
        <v>1</v>
      </c>
      <c r="AS55">
        <v>4</v>
      </c>
      <c r="AT55">
        <v>0</v>
      </c>
      <c r="AU55">
        <v>9300</v>
      </c>
      <c r="AV55">
        <v>100</v>
      </c>
      <c r="AW55" s="1">
        <v>44188</v>
      </c>
      <c r="AX55">
        <v>19200</v>
      </c>
      <c r="AY55">
        <v>152248</v>
      </c>
      <c r="AZ55">
        <v>171400</v>
      </c>
      <c r="BA55">
        <v>222000</v>
      </c>
      <c r="BB55">
        <v>739</v>
      </c>
      <c r="BC55">
        <f>Granger_Sales[[#This Row],[land_extract]]*Lookups!$B$3</f>
        <v>30364.44120477439</v>
      </c>
      <c r="BD55">
        <f>Lookups!$B$2</f>
        <v>29703.559000000001</v>
      </c>
      <c r="BE55">
        <f>VLOOKUP(Granger_Sales[[#This Row],[quality]],Lookups!$H$2:$J$12,3,FALSE)</f>
        <v>34195</v>
      </c>
      <c r="BF55">
        <f>VLOOKUP(Granger_Sales[[#This Row],[condition]],Lookups!$H$17:$J$24,3,FALSE)</f>
        <v>33736</v>
      </c>
      <c r="BG55">
        <f>Granger_Sales[[#This Row],[Age]]*Lookups!$B$16</f>
        <v>-15135.1703</v>
      </c>
      <c r="BH55">
        <f>Granger_Sales[[#This Row],[living_area]]*Lookups!$B$17</f>
        <v>107367.562764</v>
      </c>
      <c r="BI55">
        <f>Granger_Sales[[#This Row],[garage_sqft]]*Lookups!$B$18</f>
        <v>0</v>
      </c>
      <c r="BJ55">
        <f>Granger_Sales[[#This Row],[Patio]]*Lookups!$B$19</f>
        <v>0</v>
      </c>
      <c r="BK55">
        <f>Granger_Sales[[#This Row],[days_prior_to_assessment]]*Lookups!$B$20</f>
        <v>-49632.429789999995</v>
      </c>
      <c r="BL55">
        <f>Granger_Sales[[#This Row],[land_value_1]]</f>
        <v>30364.44120477439</v>
      </c>
      <c r="BM55">
        <f>SUM(Granger_Sales[[#This Row],[Intercept]:[Days_prior_adj]])</f>
        <v>140234.52167400002</v>
      </c>
      <c r="BN55">
        <f>Granger_Sales[[#This Row],[detatched_value]]</f>
        <v>9300</v>
      </c>
      <c r="BO55">
        <f>SUM(Granger_Sales[[#This Row],[predicted_land]:[predicted_det]])</f>
        <v>179898.96287877442</v>
      </c>
      <c r="BP55">
        <f>Granger_Sales[[#This Row],[predicted_total]]/Granger_Sales[[#This Row],[sale_price]]</f>
        <v>0.81035568864312801</v>
      </c>
      <c r="BQ55">
        <f>VLOOKUP(Granger_Sales[[#This Row],[quality]],Lookups!$A$25:$C$35,3,FALSE)</f>
        <v>0.98258795897788032</v>
      </c>
      <c r="BR55">
        <f>VLOOKUP(Granger_Sales[[#This Row],[condition]],Lookups!$A$38:$C$45,3,FALSE)</f>
        <v>0.92294678898076177</v>
      </c>
      <c r="BS55">
        <f>VLOOKUP(Granger_Sales[[#This Row],[decade]],Lookups!$G$28:$I$42,3,FALSE)</f>
        <v>1.0270382440255921</v>
      </c>
      <c r="BT55">
        <f>VLOOKUP(Granger_Sales[[#This Row],[living_area_range]],Lookups!$A$48:$C$57,3,FALSE)</f>
        <v>0.97860968051050168</v>
      </c>
      <c r="BU55">
        <f>Granger_Sales[[#This Row],[predicted_land]]</f>
        <v>30364.44120477439</v>
      </c>
      <c r="BV55">
        <f>Granger_Sales[[#This Row],[predicted_res]]*AVERAGE(Granger_Sales[[#This Row],[qual_adj]:[living_range_adj]])</f>
        <v>137120.70781423408</v>
      </c>
      <c r="BW55">
        <f>Granger_Sales[[#This Row],[predicted_det]]</f>
        <v>9300</v>
      </c>
      <c r="BX55">
        <f>SUM(Granger_Sales[[#This Row],[final_land]:[final_det]])</f>
        <v>176785.14901900847</v>
      </c>
      <c r="BY55">
        <f>Granger_Sales[[#This Row],[final_total]]/Granger_Sales[[#This Row],[sale_price]]</f>
        <v>0.79632950008562375</v>
      </c>
      <c r="BZ55" s="7">
        <f>(Granger_Sales[[#This Row],[final_total]]-Granger_Sales[[#This Row],[sale_price]])^2</f>
        <v>2044382749.2332704</v>
      </c>
      <c r="CA55" s="7">
        <f>(Granger_Sales[[#This Row],[final_total]]-AVERAGE(Granger_Sales[sale_price]))^2</f>
        <v>7191306228.8402185</v>
      </c>
      <c r="CB55" s="7">
        <f>Granger_Sales[[#This Row],[SSE]]+Granger_Sales[[#This Row],[SSR]]</f>
        <v>9235688978.0734882</v>
      </c>
      <c r="CC55" s="12">
        <f>ABS(Granger_Sales[[#This Row],[final_ratio]]-MEDIAN(Granger_Sales[final_ratio]))</f>
        <v>0.19420928344813737</v>
      </c>
    </row>
    <row r="56" spans="1:81" x14ac:dyDescent="0.25">
      <c r="A56">
        <v>21102141432</v>
      </c>
      <c r="B56">
        <v>0.51</v>
      </c>
      <c r="C56">
        <v>22312</v>
      </c>
      <c r="D56">
        <v>0</v>
      </c>
      <c r="E56" t="s">
        <v>54</v>
      </c>
      <c r="F56" t="s">
        <v>54</v>
      </c>
      <c r="G56">
        <v>3</v>
      </c>
      <c r="H56" t="s">
        <v>55</v>
      </c>
      <c r="I56">
        <v>180300</v>
      </c>
      <c r="J56">
        <v>31400</v>
      </c>
      <c r="K56">
        <v>0.51</v>
      </c>
      <c r="L56">
        <v>0</v>
      </c>
      <c r="M56">
        <v>0</v>
      </c>
      <c r="N56">
        <v>0</v>
      </c>
      <c r="O56">
        <v>47108.068500000001</v>
      </c>
      <c r="P56">
        <v>122297.704</v>
      </c>
      <c r="Q56">
        <f>(LN(Granger_Sales[[#This Row],[parcel_acres]])*Granger_Sales[[#This Row],[coeff]])+Granger_Sales[[#This Row],[const]]</f>
        <v>90577.742660748627</v>
      </c>
      <c r="R56" t="s">
        <v>56</v>
      </c>
      <c r="S56">
        <v>1</v>
      </c>
      <c r="T56" t="s">
        <v>64</v>
      </c>
      <c r="U56" t="s">
        <v>77</v>
      </c>
      <c r="V56">
        <v>0</v>
      </c>
      <c r="W56">
        <v>0</v>
      </c>
      <c r="X56">
        <v>50</v>
      </c>
      <c r="Y56">
        <v>73</v>
      </c>
      <c r="Z56">
        <v>70</v>
      </c>
      <c r="AA56">
        <v>2000</v>
      </c>
      <c r="AB56">
        <v>1896</v>
      </c>
      <c r="AC56">
        <v>1896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690</v>
      </c>
      <c r="AK56">
        <v>5</v>
      </c>
      <c r="AL56">
        <v>0</v>
      </c>
      <c r="AM56">
        <v>0</v>
      </c>
      <c r="AN56" t="s">
        <v>59</v>
      </c>
      <c r="AO56">
        <v>1</v>
      </c>
      <c r="AP56" t="s">
        <v>63</v>
      </c>
      <c r="AQ56" t="s">
        <v>65</v>
      </c>
      <c r="AR56">
        <v>1</v>
      </c>
      <c r="AS56">
        <v>4</v>
      </c>
      <c r="AT56">
        <v>0</v>
      </c>
      <c r="AU56">
        <v>0</v>
      </c>
      <c r="AV56">
        <v>100</v>
      </c>
      <c r="AW56" s="1">
        <v>44427</v>
      </c>
      <c r="AX56">
        <v>23300</v>
      </c>
      <c r="AY56">
        <v>183350</v>
      </c>
      <c r="AZ56">
        <v>206700</v>
      </c>
      <c r="BA56">
        <v>265000</v>
      </c>
      <c r="BB56">
        <v>500</v>
      </c>
      <c r="BC56">
        <f>Granger_Sales[[#This Row],[land_extract]]*Lookups!$B$3</f>
        <v>53959.951097481906</v>
      </c>
      <c r="BD56">
        <f>Lookups!$B$2</f>
        <v>29703.559000000001</v>
      </c>
      <c r="BE56">
        <f>VLOOKUP(Granger_Sales[[#This Row],[quality]],Lookups!$H$2:$J$12,3,FALSE)</f>
        <v>36568</v>
      </c>
      <c r="BF56">
        <f>VLOOKUP(Granger_Sales[[#This Row],[condition]],Lookups!$H$17:$J$24,3,FALSE)</f>
        <v>33736</v>
      </c>
      <c r="BG56">
        <f>Granger_Sales[[#This Row],[Age]]*Lookups!$B$16</f>
        <v>-15135.1703</v>
      </c>
      <c r="BH56">
        <f>Granger_Sales[[#This Row],[living_area]]*Lookups!$B$17</f>
        <v>127549.43546399999</v>
      </c>
      <c r="BI56">
        <f>Granger_Sales[[#This Row],[garage_sqft]]*Lookups!$B$18</f>
        <v>0</v>
      </c>
      <c r="BJ56">
        <f>Granger_Sales[[#This Row],[Patio]]*Lookups!$B$19</f>
        <v>37477.416239999999</v>
      </c>
      <c r="BK56">
        <f>Granger_Sales[[#This Row],[days_prior_to_assessment]]*Lookups!$B$20</f>
        <v>-33580.805</v>
      </c>
      <c r="BL56">
        <f>Granger_Sales[[#This Row],[land_value_1]]</f>
        <v>53959.951097481906</v>
      </c>
      <c r="BM56">
        <f>SUM(Granger_Sales[[#This Row],[Intercept]:[Days_prior_adj]])</f>
        <v>216318.43540399999</v>
      </c>
      <c r="BN56">
        <f>Granger_Sales[[#This Row],[detatched_value]]</f>
        <v>0</v>
      </c>
      <c r="BO56">
        <f>SUM(Granger_Sales[[#This Row],[predicted_land]:[predicted_det]])</f>
        <v>270278.38650148187</v>
      </c>
      <c r="BP56">
        <f>Granger_Sales[[#This Row],[predicted_total]]/Granger_Sales[[#This Row],[sale_price]]</f>
        <v>1.0199184396282335</v>
      </c>
      <c r="BQ56">
        <f>VLOOKUP(Granger_Sales[[#This Row],[quality]],Lookups!$A$25:$C$35,3,FALSE)</f>
        <v>0.99049976351917957</v>
      </c>
      <c r="BR56">
        <f>VLOOKUP(Granger_Sales[[#This Row],[condition]],Lookups!$A$38:$C$45,3,FALSE)</f>
        <v>0.92294678898076177</v>
      </c>
      <c r="BS56">
        <f>VLOOKUP(Granger_Sales[[#This Row],[decade]],Lookups!$G$28:$I$42,3,FALSE)</f>
        <v>1.0270382440255921</v>
      </c>
      <c r="BT56">
        <f>VLOOKUP(Granger_Sales[[#This Row],[living_area_range]],Lookups!$A$48:$C$57,3,FALSE)</f>
        <v>0.97860968051050168</v>
      </c>
      <c r="BU56">
        <f>Granger_Sales[[#This Row],[predicted_land]]</f>
        <v>53959.951097481906</v>
      </c>
      <c r="BV56">
        <f>Granger_Sales[[#This Row],[predicted_res]]*AVERAGE(Granger_Sales[[#This Row],[qual_adj]:[living_range_adj]])</f>
        <v>211943.09636822317</v>
      </c>
      <c r="BW56">
        <f>Granger_Sales[[#This Row],[predicted_det]]</f>
        <v>0</v>
      </c>
      <c r="BX56">
        <f>SUM(Granger_Sales[[#This Row],[final_land]:[final_det]])</f>
        <v>265903.04746570508</v>
      </c>
      <c r="BY56">
        <f>Granger_Sales[[#This Row],[final_total]]/Granger_Sales[[#This Row],[sale_price]]</f>
        <v>1.0034077262856795</v>
      </c>
      <c r="BZ56" s="7">
        <f>(Granger_Sales[[#This Row],[final_total]]-Granger_Sales[[#This Row],[sale_price]])^2</f>
        <v>815494.72531636758</v>
      </c>
      <c r="CA56" s="7">
        <f>(Granger_Sales[[#This Row],[final_total]]-AVERAGE(Granger_Sales[sale_price]))^2</f>
        <v>18630693.582020264</v>
      </c>
      <c r="CB56" s="7">
        <f>Granger_Sales[[#This Row],[SSE]]+Granger_Sales[[#This Row],[SSR]]</f>
        <v>19446188.307336632</v>
      </c>
      <c r="CC56" s="12">
        <f>ABS(Granger_Sales[[#This Row],[final_ratio]]-MEDIAN(Granger_Sales[final_ratio]))</f>
        <v>1.2868942751918411E-2</v>
      </c>
    </row>
    <row r="57" spans="1:81" x14ac:dyDescent="0.25">
      <c r="A57">
        <v>21102121415</v>
      </c>
      <c r="B57">
        <v>0.14000000000000001</v>
      </c>
      <c r="C57">
        <v>6288</v>
      </c>
      <c r="D57">
        <v>0</v>
      </c>
      <c r="E57" t="s">
        <v>54</v>
      </c>
      <c r="F57" t="s">
        <v>54</v>
      </c>
      <c r="G57">
        <v>3</v>
      </c>
      <c r="H57" t="s">
        <v>55</v>
      </c>
      <c r="I57">
        <v>179000</v>
      </c>
      <c r="J57">
        <v>25900</v>
      </c>
      <c r="K57">
        <v>0.14000000000000001</v>
      </c>
      <c r="L57">
        <v>0</v>
      </c>
      <c r="M57">
        <v>0</v>
      </c>
      <c r="N57">
        <v>0</v>
      </c>
      <c r="O57">
        <v>47108.068500000001</v>
      </c>
      <c r="P57">
        <v>122297.704</v>
      </c>
      <c r="Q57">
        <f>(LN(Granger_Sales[[#This Row],[parcel_acres]])*Granger_Sales[[#This Row],[coeff]])+Granger_Sales[[#This Row],[const]]</f>
        <v>29677.924883257932</v>
      </c>
      <c r="R57" t="s">
        <v>69</v>
      </c>
      <c r="S57">
        <v>1</v>
      </c>
      <c r="T57" t="s">
        <v>64</v>
      </c>
      <c r="U57" t="s">
        <v>72</v>
      </c>
      <c r="V57">
        <v>0</v>
      </c>
      <c r="W57">
        <v>0</v>
      </c>
      <c r="X57">
        <v>50</v>
      </c>
      <c r="Y57">
        <v>73</v>
      </c>
      <c r="Z57">
        <v>70</v>
      </c>
      <c r="AA57">
        <v>1500</v>
      </c>
      <c r="AB57">
        <v>1500</v>
      </c>
      <c r="AC57">
        <v>1500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5</v>
      </c>
      <c r="AL57">
        <v>0</v>
      </c>
      <c r="AM57">
        <v>1</v>
      </c>
      <c r="AN57" t="s">
        <v>59</v>
      </c>
      <c r="AO57">
        <v>1</v>
      </c>
      <c r="AP57" t="s">
        <v>60</v>
      </c>
      <c r="AQ57" t="s">
        <v>61</v>
      </c>
      <c r="AR57">
        <v>1</v>
      </c>
      <c r="AS57">
        <v>2</v>
      </c>
      <c r="AT57">
        <v>0</v>
      </c>
      <c r="AU57">
        <v>0</v>
      </c>
      <c r="AV57">
        <v>100</v>
      </c>
      <c r="AW57" s="1">
        <v>43922</v>
      </c>
      <c r="AX57">
        <v>19800</v>
      </c>
      <c r="AY57">
        <v>175538</v>
      </c>
      <c r="AZ57">
        <v>195300</v>
      </c>
      <c r="BA57">
        <v>180000</v>
      </c>
      <c r="BB57">
        <v>1005</v>
      </c>
      <c r="BC57">
        <f>Granger_Sales[[#This Row],[land_extract]]*Lookups!$B$3</f>
        <v>17680.053933043157</v>
      </c>
      <c r="BD57">
        <f>Lookups!$B$2</f>
        <v>29703.559000000001</v>
      </c>
      <c r="BE57">
        <f>VLOOKUP(Granger_Sales[[#This Row],[quality]],Lookups!$H$2:$J$12,3,FALSE)</f>
        <v>36568</v>
      </c>
      <c r="BF57">
        <f>VLOOKUP(Granger_Sales[[#This Row],[condition]],Lookups!$H$17:$J$24,3,FALSE)</f>
        <v>94106</v>
      </c>
      <c r="BG57">
        <f>Granger_Sales[[#This Row],[Age]]*Lookups!$B$16</f>
        <v>-15135.1703</v>
      </c>
      <c r="BH57">
        <f>Granger_Sales[[#This Row],[living_area]]*Lookups!$B$17</f>
        <v>100909.36349999999</v>
      </c>
      <c r="BI57">
        <f>Granger_Sales[[#This Row],[garage_sqft]]*Lookups!$B$18</f>
        <v>0</v>
      </c>
      <c r="BJ57">
        <f>Granger_Sales[[#This Row],[Patio]]*Lookups!$B$19</f>
        <v>0</v>
      </c>
      <c r="BK57">
        <f>Granger_Sales[[#This Row],[days_prior_to_assessment]]*Lookups!$B$20</f>
        <v>-67497.418049999993</v>
      </c>
      <c r="BL57">
        <f>Granger_Sales[[#This Row],[land_value_1]]</f>
        <v>17680.053933043157</v>
      </c>
      <c r="BM57">
        <f>SUM(Granger_Sales[[#This Row],[Intercept]:[Days_prior_adj]])</f>
        <v>178654.33415000001</v>
      </c>
      <c r="BN57">
        <f>Granger_Sales[[#This Row],[detatched_value]]</f>
        <v>0</v>
      </c>
      <c r="BO57">
        <f>SUM(Granger_Sales[[#This Row],[predicted_land]:[predicted_det]])</f>
        <v>196334.38808304316</v>
      </c>
      <c r="BP57">
        <f>Granger_Sales[[#This Row],[predicted_total]]/Granger_Sales[[#This Row],[sale_price]]</f>
        <v>1.0907466004613509</v>
      </c>
      <c r="BQ57">
        <f>VLOOKUP(Granger_Sales[[#This Row],[quality]],Lookups!$A$25:$C$35,3,FALSE)</f>
        <v>0.99049976351917957</v>
      </c>
      <c r="BR57">
        <f>VLOOKUP(Granger_Sales[[#This Row],[condition]],Lookups!$A$38:$C$45,3,FALSE)</f>
        <v>0.98658583151544277</v>
      </c>
      <c r="BS57">
        <f>VLOOKUP(Granger_Sales[[#This Row],[decade]],Lookups!$G$28:$I$42,3,FALSE)</f>
        <v>1.0270382440255921</v>
      </c>
      <c r="BT57">
        <f>VLOOKUP(Granger_Sales[[#This Row],[living_area_range]],Lookups!$A$48:$C$57,3,FALSE)</f>
        <v>0.97960506760539345</v>
      </c>
      <c r="BU57">
        <f>Granger_Sales[[#This Row],[predicted_land]]</f>
        <v>17680.053933043157</v>
      </c>
      <c r="BV57">
        <f>Granger_Sales[[#This Row],[predicted_res]]*AVERAGE(Granger_Sales[[#This Row],[qual_adj]:[living_range_adj]])</f>
        <v>177927.60881361293</v>
      </c>
      <c r="BW57">
        <f>Granger_Sales[[#This Row],[predicted_det]]</f>
        <v>0</v>
      </c>
      <c r="BX57">
        <f>SUM(Granger_Sales[[#This Row],[final_land]:[final_det]])</f>
        <v>195607.66274665607</v>
      </c>
      <c r="BY57">
        <f>Granger_Sales[[#This Row],[final_total]]/Granger_Sales[[#This Row],[sale_price]]</f>
        <v>1.0867092374814227</v>
      </c>
      <c r="BZ57" s="7">
        <f>(Granger_Sales[[#This Row],[final_total]]-Granger_Sales[[#This Row],[sale_price]])^2</f>
        <v>243599136.41335586</v>
      </c>
      <c r="CA57" s="7">
        <f>(Granger_Sales[[#This Row],[final_total]]-AVERAGE(Granger_Sales[sale_price]))^2</f>
        <v>4353235831.0923939</v>
      </c>
      <c r="CB57" s="7">
        <f>Granger_Sales[[#This Row],[SSE]]+Granger_Sales[[#This Row],[SSR]]</f>
        <v>4596834967.5057497</v>
      </c>
      <c r="CC57" s="12">
        <f>ABS(Granger_Sales[[#This Row],[final_ratio]]-MEDIAN(Granger_Sales[final_ratio]))</f>
        <v>9.6170453947661549E-2</v>
      </c>
    </row>
    <row r="58" spans="1:81" x14ac:dyDescent="0.25">
      <c r="A58">
        <v>21101534010</v>
      </c>
      <c r="B58">
        <v>0.59</v>
      </c>
      <c r="C58">
        <v>25719</v>
      </c>
      <c r="D58">
        <v>0</v>
      </c>
      <c r="E58" t="s">
        <v>54</v>
      </c>
      <c r="F58" t="s">
        <v>54</v>
      </c>
      <c r="G58">
        <v>3</v>
      </c>
      <c r="H58" t="s">
        <v>55</v>
      </c>
      <c r="I58">
        <v>53900</v>
      </c>
      <c r="J58">
        <v>32200</v>
      </c>
      <c r="K58">
        <v>0.59</v>
      </c>
      <c r="L58">
        <v>0</v>
      </c>
      <c r="M58">
        <v>0</v>
      </c>
      <c r="N58">
        <v>0</v>
      </c>
      <c r="O58">
        <v>47108.068500000001</v>
      </c>
      <c r="P58">
        <v>122297.704</v>
      </c>
      <c r="Q58">
        <f>(LN(Granger_Sales[[#This Row],[parcel_acres]])*Granger_Sales[[#This Row],[coeff]])+Granger_Sales[[#This Row],[const]]</f>
        <v>97441.944643140785</v>
      </c>
      <c r="R58" t="s">
        <v>69</v>
      </c>
      <c r="S58">
        <v>1</v>
      </c>
      <c r="T58" t="s">
        <v>78</v>
      </c>
      <c r="U58" t="s">
        <v>77</v>
      </c>
      <c r="V58">
        <v>0</v>
      </c>
      <c r="W58">
        <v>0</v>
      </c>
      <c r="X58">
        <v>51</v>
      </c>
      <c r="Y58">
        <v>83</v>
      </c>
      <c r="Z58">
        <v>80</v>
      </c>
      <c r="AA58">
        <v>1000</v>
      </c>
      <c r="AB58">
        <v>696</v>
      </c>
      <c r="AC58">
        <v>696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222</v>
      </c>
      <c r="AK58">
        <v>5</v>
      </c>
      <c r="AL58">
        <v>0</v>
      </c>
      <c r="AM58">
        <v>0</v>
      </c>
      <c r="AN58" t="s">
        <v>59</v>
      </c>
      <c r="AO58">
        <v>1</v>
      </c>
      <c r="AP58" t="s">
        <v>76</v>
      </c>
      <c r="AQ58" t="s">
        <v>65</v>
      </c>
      <c r="AR58">
        <v>0</v>
      </c>
      <c r="AS58">
        <v>2</v>
      </c>
      <c r="AT58">
        <v>0</v>
      </c>
      <c r="AU58">
        <v>3700</v>
      </c>
      <c r="AV58">
        <v>100</v>
      </c>
      <c r="AW58" s="1">
        <v>43885</v>
      </c>
      <c r="AX58">
        <v>24000</v>
      </c>
      <c r="AY58">
        <v>69239</v>
      </c>
      <c r="AZ58">
        <v>93200</v>
      </c>
      <c r="BA58">
        <v>75000</v>
      </c>
      <c r="BB58">
        <v>1042</v>
      </c>
      <c r="BC58">
        <f>Granger_Sales[[#This Row],[land_extract]]*Lookups!$B$3</f>
        <v>58049.167635813974</v>
      </c>
      <c r="BD58">
        <f>Lookups!$B$2</f>
        <v>29703.559000000001</v>
      </c>
      <c r="BE58">
        <f>VLOOKUP(Granger_Sales[[#This Row],[quality]],Lookups!$H$2:$J$12,3,FALSE)</f>
        <v>23737.786340274597</v>
      </c>
      <c r="BF58">
        <f>VLOOKUP(Granger_Sales[[#This Row],[condition]],Lookups!$H$17:$J$24,3,FALSE)</f>
        <v>33736</v>
      </c>
      <c r="BG58">
        <f>Granger_Sales[[#This Row],[Age]]*Lookups!$B$16</f>
        <v>-17208.481299999999</v>
      </c>
      <c r="BH58">
        <f>Granger_Sales[[#This Row],[living_area]]*Lookups!$B$17</f>
        <v>46821.944664000002</v>
      </c>
      <c r="BI58">
        <f>Granger_Sales[[#This Row],[garage_sqft]]*Lookups!$B$18</f>
        <v>0</v>
      </c>
      <c r="BJ58">
        <f>Granger_Sales[[#This Row],[Patio]]*Lookups!$B$19</f>
        <v>12057.951311999999</v>
      </c>
      <c r="BK58">
        <f>Granger_Sales[[#This Row],[days_prior_to_assessment]]*Lookups!$B$20</f>
        <v>-69982.397619999989</v>
      </c>
      <c r="BL58">
        <f>Granger_Sales[[#This Row],[land_value_1]]</f>
        <v>58049.167635813974</v>
      </c>
      <c r="BM58">
        <f>SUM(Granger_Sales[[#This Row],[Intercept]:[Days_prior_adj]])</f>
        <v>58866.362396274606</v>
      </c>
      <c r="BN58">
        <f>Granger_Sales[[#This Row],[detatched_value]]</f>
        <v>3700</v>
      </c>
      <c r="BO58">
        <f>SUM(Granger_Sales[[#This Row],[predicted_land]:[predicted_det]])</f>
        <v>120615.53003208857</v>
      </c>
      <c r="BP58">
        <f>Granger_Sales[[#This Row],[predicted_total]]/Granger_Sales[[#This Row],[sale_price]]</f>
        <v>1.6082070670945143</v>
      </c>
      <c r="BQ58">
        <f>VLOOKUP(Granger_Sales[[#This Row],[quality]],Lookups!$A$25:$C$35,3,FALSE)</f>
        <v>0.77695375541795109</v>
      </c>
      <c r="BR58">
        <f>VLOOKUP(Granger_Sales[[#This Row],[condition]],Lookups!$A$38:$C$45,3,FALSE)</f>
        <v>0.92294678898076177</v>
      </c>
      <c r="BS58">
        <f>VLOOKUP(Granger_Sales[[#This Row],[decade]],Lookups!$G$28:$I$42,3,FALSE)</f>
        <v>0.76006056002554967</v>
      </c>
      <c r="BT58">
        <f>VLOOKUP(Granger_Sales[[#This Row],[living_area_range]],Lookups!$A$48:$C$57,3,FALSE)</f>
        <v>0.81272404900450645</v>
      </c>
      <c r="BU58">
        <f>Granger_Sales[[#This Row],[predicted_land]]</f>
        <v>58049.167635813974</v>
      </c>
      <c r="BV58">
        <f>Granger_Sales[[#This Row],[predicted_res]]*AVERAGE(Granger_Sales[[#This Row],[qual_adj]:[living_range_adj]])</f>
        <v>48162.767562661371</v>
      </c>
      <c r="BW58">
        <f>Granger_Sales[[#This Row],[predicted_det]]</f>
        <v>3700</v>
      </c>
      <c r="BX58">
        <f>SUM(Granger_Sales[[#This Row],[final_land]:[final_det]])</f>
        <v>109911.93519847534</v>
      </c>
      <c r="BY58">
        <f>Granger_Sales[[#This Row],[final_total]]/Granger_Sales[[#This Row],[sale_price]]</f>
        <v>1.4654924693130047</v>
      </c>
      <c r="BZ58" s="7">
        <f>(Granger_Sales[[#This Row],[final_total]]-Granger_Sales[[#This Row],[sale_price]])^2</f>
        <v>1218843219.3025417</v>
      </c>
      <c r="CA58" s="7">
        <f>(Granger_Sales[[#This Row],[final_total]]-AVERAGE(Granger_Sales[sale_price]))^2</f>
        <v>23005239965.401855</v>
      </c>
      <c r="CB58" s="7">
        <f>Granger_Sales[[#This Row],[SSE]]+Granger_Sales[[#This Row],[SSR]]</f>
        <v>24224083184.704399</v>
      </c>
      <c r="CC58" s="12">
        <f>ABS(Granger_Sales[[#This Row],[final_ratio]]-MEDIAN(Granger_Sales[final_ratio]))</f>
        <v>0.47495368577924357</v>
      </c>
    </row>
    <row r="59" spans="1:81" x14ac:dyDescent="0.25">
      <c r="A59">
        <v>21101533010</v>
      </c>
      <c r="B59">
        <v>0.22</v>
      </c>
      <c r="C59">
        <v>9720</v>
      </c>
      <c r="D59">
        <v>0</v>
      </c>
      <c r="E59" t="s">
        <v>54</v>
      </c>
      <c r="F59" t="s">
        <v>54</v>
      </c>
      <c r="G59">
        <v>3</v>
      </c>
      <c r="H59" t="s">
        <v>55</v>
      </c>
      <c r="I59">
        <v>167600</v>
      </c>
      <c r="J59">
        <v>26700</v>
      </c>
      <c r="K59">
        <v>0.22</v>
      </c>
      <c r="L59">
        <v>0</v>
      </c>
      <c r="M59">
        <v>0</v>
      </c>
      <c r="N59">
        <v>0</v>
      </c>
      <c r="O59">
        <v>47108.068500000001</v>
      </c>
      <c r="P59">
        <v>122297.704</v>
      </c>
      <c r="Q59">
        <f>(LN(Granger_Sales[[#This Row],[parcel_acres]])*Granger_Sales[[#This Row],[coeff]])+Granger_Sales[[#This Row],[const]]</f>
        <v>50970.071053526844</v>
      </c>
      <c r="R59" t="s">
        <v>80</v>
      </c>
      <c r="S59">
        <v>2</v>
      </c>
      <c r="T59" t="s">
        <v>64</v>
      </c>
      <c r="U59" t="s">
        <v>77</v>
      </c>
      <c r="V59">
        <v>0</v>
      </c>
      <c r="W59">
        <v>0</v>
      </c>
      <c r="X59">
        <v>51</v>
      </c>
      <c r="Y59">
        <v>78</v>
      </c>
      <c r="Z59">
        <v>80</v>
      </c>
      <c r="AA59">
        <v>2000</v>
      </c>
      <c r="AB59">
        <v>1552</v>
      </c>
      <c r="AC59">
        <v>1232</v>
      </c>
      <c r="AD59">
        <v>320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260</v>
      </c>
      <c r="AK59">
        <v>8</v>
      </c>
      <c r="AL59">
        <v>0</v>
      </c>
      <c r="AM59">
        <v>0</v>
      </c>
      <c r="AN59" t="s">
        <v>81</v>
      </c>
      <c r="AO59">
        <v>1</v>
      </c>
      <c r="AP59" t="s">
        <v>60</v>
      </c>
      <c r="AQ59" t="s">
        <v>65</v>
      </c>
      <c r="AR59">
        <v>0</v>
      </c>
      <c r="AS59">
        <v>4</v>
      </c>
      <c r="AT59">
        <v>0</v>
      </c>
      <c r="AU59">
        <v>3600</v>
      </c>
      <c r="AV59">
        <v>100</v>
      </c>
      <c r="AW59" s="1">
        <v>44491</v>
      </c>
      <c r="AX59">
        <v>19300</v>
      </c>
      <c r="AY59">
        <v>156042</v>
      </c>
      <c r="AZ59">
        <v>175300</v>
      </c>
      <c r="BA59">
        <v>240000</v>
      </c>
      <c r="BB59">
        <v>436</v>
      </c>
      <c r="BC59">
        <f>Granger_Sales[[#This Row],[land_extract]]*Lookups!$B$3</f>
        <v>30364.44120477439</v>
      </c>
      <c r="BD59">
        <f>Lookups!$B$2</f>
        <v>29703.559000000001</v>
      </c>
      <c r="BE59">
        <f>VLOOKUP(Granger_Sales[[#This Row],[quality]],Lookups!$H$2:$J$12,3,FALSE)</f>
        <v>36568</v>
      </c>
      <c r="BF59">
        <f>VLOOKUP(Granger_Sales[[#This Row],[condition]],Lookups!$H$17:$J$24,3,FALSE)</f>
        <v>33736</v>
      </c>
      <c r="BG59">
        <f>Granger_Sales[[#This Row],[Age]]*Lookups!$B$16</f>
        <v>-16171.825799999999</v>
      </c>
      <c r="BH59">
        <f>Granger_Sales[[#This Row],[living_area]]*Lookups!$B$17</f>
        <v>104407.554768</v>
      </c>
      <c r="BI59">
        <f>Granger_Sales[[#This Row],[garage_sqft]]*Lookups!$B$18</f>
        <v>0</v>
      </c>
      <c r="BJ59">
        <f>Granger_Sales[[#This Row],[Patio]]*Lookups!$B$19</f>
        <v>14121.924959999998</v>
      </c>
      <c r="BK59">
        <f>Granger_Sales[[#This Row],[days_prior_to_assessment]]*Lookups!$B$20</f>
        <v>-29282.461959999997</v>
      </c>
      <c r="BL59">
        <f>Granger_Sales[[#This Row],[land_value_1]]</f>
        <v>30364.44120477439</v>
      </c>
      <c r="BM59">
        <f>SUM(Granger_Sales[[#This Row],[Intercept]:[Days_prior_adj]])</f>
        <v>173082.75096800004</v>
      </c>
      <c r="BN59">
        <f>Granger_Sales[[#This Row],[detatched_value]]</f>
        <v>3600</v>
      </c>
      <c r="BO59">
        <f>SUM(Granger_Sales[[#This Row],[predicted_land]:[predicted_det]])</f>
        <v>207047.19217277443</v>
      </c>
      <c r="BP59">
        <f>Granger_Sales[[#This Row],[predicted_total]]/Granger_Sales[[#This Row],[sale_price]]</f>
        <v>0.86269663405322683</v>
      </c>
      <c r="BQ59">
        <f>VLOOKUP(Granger_Sales[[#This Row],[quality]],Lookups!$A$25:$C$35,3,FALSE)</f>
        <v>0.99049976351917957</v>
      </c>
      <c r="BR59">
        <f>VLOOKUP(Granger_Sales[[#This Row],[condition]],Lookups!$A$38:$C$45,3,FALSE)</f>
        <v>0.92294678898076177</v>
      </c>
      <c r="BS59">
        <f>VLOOKUP(Granger_Sales[[#This Row],[decade]],Lookups!$G$28:$I$42,3,FALSE)</f>
        <v>0.76006056002554967</v>
      </c>
      <c r="BT59">
        <f>VLOOKUP(Granger_Sales[[#This Row],[living_area_range]],Lookups!$A$48:$C$57,3,FALSE)</f>
        <v>0.97860968051050168</v>
      </c>
      <c r="BU59">
        <f>Granger_Sales[[#This Row],[predicted_land]]</f>
        <v>30364.44120477439</v>
      </c>
      <c r="BV59">
        <f>Granger_Sales[[#This Row],[predicted_res]]*AVERAGE(Granger_Sales[[#This Row],[qual_adj]:[living_range_adj]])</f>
        <v>158029.60534877493</v>
      </c>
      <c r="BW59">
        <f>Granger_Sales[[#This Row],[predicted_det]]</f>
        <v>3600</v>
      </c>
      <c r="BX59">
        <f>SUM(Granger_Sales[[#This Row],[final_land]:[final_det]])</f>
        <v>191994.04655354933</v>
      </c>
      <c r="BY59">
        <f>Granger_Sales[[#This Row],[final_total]]/Granger_Sales[[#This Row],[sale_price]]</f>
        <v>0.79997519397312222</v>
      </c>
      <c r="BZ59" s="7">
        <f>(Granger_Sales[[#This Row],[final_total]]-Granger_Sales[[#This Row],[sale_price]])^2</f>
        <v>2304571566.3027892</v>
      </c>
      <c r="CA59" s="7">
        <f>(Granger_Sales[[#This Row],[final_total]]-AVERAGE(Granger_Sales[sale_price]))^2</f>
        <v>4843140023.4426384</v>
      </c>
      <c r="CB59" s="7">
        <f>Granger_Sales[[#This Row],[SSE]]+Granger_Sales[[#This Row],[SSR]]</f>
        <v>7147711589.7454281</v>
      </c>
      <c r="CC59" s="12">
        <f>ABS(Granger_Sales[[#This Row],[final_ratio]]-MEDIAN(Granger_Sales[final_ratio]))</f>
        <v>0.1905635895606389</v>
      </c>
    </row>
    <row r="60" spans="1:81" x14ac:dyDescent="0.25">
      <c r="A60">
        <v>21102114442</v>
      </c>
      <c r="B60">
        <v>0.2</v>
      </c>
      <c r="C60">
        <v>8537</v>
      </c>
      <c r="D60">
        <v>0</v>
      </c>
      <c r="E60" t="s">
        <v>54</v>
      </c>
      <c r="F60" t="s">
        <v>54</v>
      </c>
      <c r="G60">
        <v>3</v>
      </c>
      <c r="H60" t="s">
        <v>55</v>
      </c>
      <c r="I60">
        <v>4200</v>
      </c>
      <c r="J60">
        <v>26200</v>
      </c>
      <c r="K60">
        <v>0.2</v>
      </c>
      <c r="L60">
        <v>0</v>
      </c>
      <c r="M60">
        <v>0</v>
      </c>
      <c r="N60">
        <v>0</v>
      </c>
      <c r="O60">
        <v>47108.068500000001</v>
      </c>
      <c r="P60">
        <v>122297.704</v>
      </c>
      <c r="Q60">
        <f>(LN(Granger_Sales[[#This Row],[parcel_acres]])*Granger_Sales[[#This Row],[coeff]])+Granger_Sales[[#This Row],[const]]</f>
        <v>46480.192574557397</v>
      </c>
      <c r="R60" t="s">
        <v>69</v>
      </c>
      <c r="S60">
        <v>1</v>
      </c>
      <c r="T60" t="s">
        <v>78</v>
      </c>
      <c r="U60" t="s">
        <v>82</v>
      </c>
      <c r="V60">
        <v>0</v>
      </c>
      <c r="W60">
        <v>0</v>
      </c>
      <c r="X60">
        <v>51</v>
      </c>
      <c r="Y60">
        <v>77</v>
      </c>
      <c r="Z60">
        <v>80</v>
      </c>
      <c r="AA60">
        <v>1500</v>
      </c>
      <c r="AB60">
        <v>1015</v>
      </c>
      <c r="AC60">
        <v>1015</v>
      </c>
      <c r="AD60">
        <v>0</v>
      </c>
      <c r="AE60">
        <v>0</v>
      </c>
      <c r="AF60">
        <v>0</v>
      </c>
      <c r="AG60">
        <v>0</v>
      </c>
      <c r="AH60">
        <v>192</v>
      </c>
      <c r="AI60">
        <v>0</v>
      </c>
      <c r="AJ60">
        <v>0</v>
      </c>
      <c r="AK60">
        <v>5</v>
      </c>
      <c r="AL60">
        <v>0</v>
      </c>
      <c r="AM60">
        <v>0</v>
      </c>
      <c r="AN60" t="s">
        <v>59</v>
      </c>
      <c r="AO60">
        <v>0</v>
      </c>
      <c r="AP60" t="s">
        <v>83</v>
      </c>
      <c r="AQ60" t="s">
        <v>61</v>
      </c>
      <c r="AR60">
        <v>0</v>
      </c>
      <c r="AS60">
        <v>2</v>
      </c>
      <c r="AT60">
        <v>0</v>
      </c>
      <c r="AU60">
        <v>0</v>
      </c>
      <c r="AV60">
        <v>100</v>
      </c>
      <c r="AW60" s="1">
        <v>44410</v>
      </c>
      <c r="AX60">
        <v>18800</v>
      </c>
      <c r="AY60">
        <v>56037</v>
      </c>
      <c r="AZ60">
        <v>74800</v>
      </c>
      <c r="BA60">
        <v>75000</v>
      </c>
      <c r="BB60">
        <v>517</v>
      </c>
      <c r="BC60">
        <f>Granger_Sales[[#This Row],[land_extract]]*Lookups!$B$3</f>
        <v>27689.682306595139</v>
      </c>
      <c r="BD60">
        <f>Lookups!$B$2</f>
        <v>29703.559000000001</v>
      </c>
      <c r="BE60">
        <f>VLOOKUP(Granger_Sales[[#This Row],[quality]],Lookups!$H$2:$J$12,3,FALSE)</f>
        <v>23737.786340274597</v>
      </c>
      <c r="BF60">
        <f>VLOOKUP(Granger_Sales[[#This Row],[condition]],Lookups!$H$17:$J$24,3,FALSE)</f>
        <v>27308</v>
      </c>
      <c r="BG60">
        <f>Granger_Sales[[#This Row],[Age]]*Lookups!$B$16</f>
        <v>-15964.494699999999</v>
      </c>
      <c r="BH60">
        <f>Granger_Sales[[#This Row],[living_area]]*Lookups!$B$17</f>
        <v>68282.002634999997</v>
      </c>
      <c r="BI60">
        <f>Granger_Sales[[#This Row],[garage_sqft]]*Lookups!$B$18</f>
        <v>0</v>
      </c>
      <c r="BJ60">
        <f>Granger_Sales[[#This Row],[Patio]]*Lookups!$B$19</f>
        <v>0</v>
      </c>
      <c r="BK60">
        <f>Granger_Sales[[#This Row],[days_prior_to_assessment]]*Lookups!$B$20</f>
        <v>-34722.552369999998</v>
      </c>
      <c r="BL60">
        <f>Granger_Sales[[#This Row],[land_value_1]]</f>
        <v>27689.682306595139</v>
      </c>
      <c r="BM60">
        <f>SUM(Granger_Sales[[#This Row],[Intercept]:[Days_prior_adj]])</f>
        <v>98344.300905274606</v>
      </c>
      <c r="BN60">
        <f>Granger_Sales[[#This Row],[detatched_value]]</f>
        <v>0</v>
      </c>
      <c r="BO60">
        <f>SUM(Granger_Sales[[#This Row],[predicted_land]:[predicted_det]])</f>
        <v>126033.98321186975</v>
      </c>
      <c r="BP60">
        <f>Granger_Sales[[#This Row],[predicted_total]]/Granger_Sales[[#This Row],[sale_price]]</f>
        <v>1.6804531094915967</v>
      </c>
      <c r="BQ60">
        <f>VLOOKUP(Granger_Sales[[#This Row],[quality]],Lookups!$A$25:$C$35,3,FALSE)</f>
        <v>0.77695375541795109</v>
      </c>
      <c r="BR60">
        <f>VLOOKUP(Granger_Sales[[#This Row],[condition]],Lookups!$A$38:$C$45,3,FALSE)</f>
        <v>0.59507759803100935</v>
      </c>
      <c r="BS60">
        <f>VLOOKUP(Granger_Sales[[#This Row],[decade]],Lookups!$G$28:$I$42,3,FALSE)</f>
        <v>0.76006056002554967</v>
      </c>
      <c r="BT60">
        <f>VLOOKUP(Granger_Sales[[#This Row],[living_area_range]],Lookups!$A$48:$C$57,3,FALSE)</f>
        <v>0.97960506760539345</v>
      </c>
      <c r="BU60">
        <f>Granger_Sales[[#This Row],[predicted_land]]</f>
        <v>27689.682306595139</v>
      </c>
      <c r="BV60">
        <f>Granger_Sales[[#This Row],[predicted_res]]*AVERAGE(Granger_Sales[[#This Row],[qual_adj]:[living_range_adj]])</f>
        <v>76504.416058339164</v>
      </c>
      <c r="BW60">
        <f>Granger_Sales[[#This Row],[predicted_det]]</f>
        <v>0</v>
      </c>
      <c r="BX60">
        <f>SUM(Granger_Sales[[#This Row],[final_land]:[final_det]])</f>
        <v>104194.0983649343</v>
      </c>
      <c r="BY60">
        <f>Granger_Sales[[#This Row],[final_total]]/Granger_Sales[[#This Row],[sale_price]]</f>
        <v>1.3892546448657905</v>
      </c>
      <c r="BZ60" s="7">
        <f>(Granger_Sales[[#This Row],[final_total]]-Granger_Sales[[#This Row],[sale_price]])^2</f>
        <v>852295379.34145939</v>
      </c>
      <c r="CA60" s="7">
        <f>(Granger_Sales[[#This Row],[final_total]]-AVERAGE(Granger_Sales[sale_price]))^2</f>
        <v>24772436951.677399</v>
      </c>
      <c r="CB60" s="7">
        <f>Granger_Sales[[#This Row],[SSE]]+Granger_Sales[[#This Row],[SSR]]</f>
        <v>25624732331.01886</v>
      </c>
      <c r="CC60" s="12">
        <f>ABS(Granger_Sales[[#This Row],[final_ratio]]-MEDIAN(Granger_Sales[final_ratio]))</f>
        <v>0.39871586133202941</v>
      </c>
    </row>
    <row r="61" spans="1:81" x14ac:dyDescent="0.25">
      <c r="A61">
        <v>21101533442</v>
      </c>
      <c r="B61">
        <v>0.64</v>
      </c>
      <c r="C61">
        <v>0</v>
      </c>
      <c r="D61">
        <v>0</v>
      </c>
      <c r="E61" t="s">
        <v>54</v>
      </c>
      <c r="F61" t="s">
        <v>54</v>
      </c>
      <c r="G61">
        <v>3</v>
      </c>
      <c r="H61" t="s">
        <v>55</v>
      </c>
      <c r="I61">
        <v>144400</v>
      </c>
      <c r="J61">
        <v>32700</v>
      </c>
      <c r="K61">
        <v>0.64</v>
      </c>
      <c r="L61">
        <v>0</v>
      </c>
      <c r="M61">
        <v>0</v>
      </c>
      <c r="N61">
        <v>0</v>
      </c>
      <c r="O61">
        <v>47108.068500000001</v>
      </c>
      <c r="P61">
        <v>122297.704</v>
      </c>
      <c r="Q61">
        <f>(LN(Granger_Sales[[#This Row],[parcel_acres]])*Granger_Sales[[#This Row],[coeff]])+Granger_Sales[[#This Row],[const]]</f>
        <v>101273.98059871388</v>
      </c>
      <c r="R61" t="s">
        <v>62</v>
      </c>
      <c r="S61">
        <v>2</v>
      </c>
      <c r="T61" t="s">
        <v>78</v>
      </c>
      <c r="U61" t="s">
        <v>77</v>
      </c>
      <c r="V61">
        <v>0</v>
      </c>
      <c r="W61">
        <v>0</v>
      </c>
      <c r="X61">
        <v>52</v>
      </c>
      <c r="Y61">
        <v>84</v>
      </c>
      <c r="Z61">
        <v>80</v>
      </c>
      <c r="AA61">
        <v>1500</v>
      </c>
      <c r="AB61">
        <v>1399</v>
      </c>
      <c r="AC61">
        <v>1000</v>
      </c>
      <c r="AD61">
        <v>399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585</v>
      </c>
      <c r="AK61">
        <v>5</v>
      </c>
      <c r="AL61">
        <v>1</v>
      </c>
      <c r="AM61">
        <v>0</v>
      </c>
      <c r="AN61" t="s">
        <v>81</v>
      </c>
      <c r="AO61">
        <v>0</v>
      </c>
      <c r="AP61" t="s">
        <v>83</v>
      </c>
      <c r="AQ61" t="s">
        <v>61</v>
      </c>
      <c r="AR61">
        <v>0</v>
      </c>
      <c r="AS61">
        <v>3</v>
      </c>
      <c r="AT61">
        <v>0</v>
      </c>
      <c r="AU61">
        <v>33800</v>
      </c>
      <c r="AV61">
        <v>100</v>
      </c>
      <c r="AW61" s="1">
        <v>44832</v>
      </c>
      <c r="AX61">
        <v>24400</v>
      </c>
      <c r="AY61">
        <v>149156</v>
      </c>
      <c r="AZ61">
        <v>173600</v>
      </c>
      <c r="BA61">
        <v>255000</v>
      </c>
      <c r="BB61">
        <v>95</v>
      </c>
      <c r="BC61">
        <f>Granger_Sales[[#This Row],[land_extract]]*Lookups!$B$3</f>
        <v>60332.029481256301</v>
      </c>
      <c r="BD61">
        <f>Lookups!$B$2</f>
        <v>29703.559000000001</v>
      </c>
      <c r="BE61">
        <f>VLOOKUP(Granger_Sales[[#This Row],[quality]],Lookups!$H$2:$J$12,3,FALSE)</f>
        <v>23737.786340274597</v>
      </c>
      <c r="BF61">
        <f>VLOOKUP(Granger_Sales[[#This Row],[condition]],Lookups!$H$17:$J$24,3,FALSE)</f>
        <v>33736</v>
      </c>
      <c r="BG61">
        <f>Granger_Sales[[#This Row],[Age]]*Lookups!$B$16</f>
        <v>-17415.812399999999</v>
      </c>
      <c r="BH61">
        <f>Granger_Sales[[#This Row],[living_area]]*Lookups!$B$17</f>
        <v>94114.799690999993</v>
      </c>
      <c r="BI61">
        <f>Granger_Sales[[#This Row],[garage_sqft]]*Lookups!$B$18</f>
        <v>0</v>
      </c>
      <c r="BJ61">
        <f>Granger_Sales[[#This Row],[Patio]]*Lookups!$B$19</f>
        <v>31774.331159999998</v>
      </c>
      <c r="BK61">
        <f>Granger_Sales[[#This Row],[days_prior_to_assessment]]*Lookups!$B$20</f>
        <v>-6380.3529499999995</v>
      </c>
      <c r="BL61">
        <f>Granger_Sales[[#This Row],[land_value_1]]</f>
        <v>60332.029481256301</v>
      </c>
      <c r="BM61">
        <f>SUM(Granger_Sales[[#This Row],[Intercept]:[Days_prior_adj]])</f>
        <v>189270.31084127459</v>
      </c>
      <c r="BN61">
        <f>Granger_Sales[[#This Row],[detatched_value]]</f>
        <v>33800</v>
      </c>
      <c r="BO61">
        <f>SUM(Granger_Sales[[#This Row],[predicted_land]:[predicted_det]])</f>
        <v>283402.34032253089</v>
      </c>
      <c r="BP61">
        <f>Granger_Sales[[#This Row],[predicted_total]]/Granger_Sales[[#This Row],[sale_price]]</f>
        <v>1.111381726755023</v>
      </c>
      <c r="BQ61">
        <f>VLOOKUP(Granger_Sales[[#This Row],[quality]],Lookups!$A$25:$C$35,3,FALSE)</f>
        <v>0.77695375541795109</v>
      </c>
      <c r="BR61">
        <f>VLOOKUP(Granger_Sales[[#This Row],[condition]],Lookups!$A$38:$C$45,3,FALSE)</f>
        <v>0.92294678898076177</v>
      </c>
      <c r="BS61">
        <f>VLOOKUP(Granger_Sales[[#This Row],[decade]],Lookups!$G$28:$I$42,3,FALSE)</f>
        <v>0.76006056002554967</v>
      </c>
      <c r="BT61">
        <f>VLOOKUP(Granger_Sales[[#This Row],[living_area_range]],Lookups!$A$48:$C$57,3,FALSE)</f>
        <v>0.97960506760539345</v>
      </c>
      <c r="BU61">
        <f>Granger_Sales[[#This Row],[predicted_land]]</f>
        <v>60332.029481256301</v>
      </c>
      <c r="BV61">
        <f>Granger_Sales[[#This Row],[predicted_res]]*AVERAGE(Granger_Sales[[#This Row],[qual_adj]:[living_range_adj]])</f>
        <v>162751.93963479649</v>
      </c>
      <c r="BW61">
        <f>Granger_Sales[[#This Row],[predicted_det]]</f>
        <v>33800</v>
      </c>
      <c r="BX61">
        <f>SUM(Granger_Sales[[#This Row],[final_land]:[final_det]])</f>
        <v>256883.96911605279</v>
      </c>
      <c r="BY61">
        <f>Granger_Sales[[#This Row],[final_total]]/Granger_Sales[[#This Row],[sale_price]]</f>
        <v>1.0073881141805991</v>
      </c>
      <c r="BZ61" s="7">
        <f>(Granger_Sales[[#This Row],[final_total]]-Granger_Sales[[#This Row],[sale_price]])^2</f>
        <v>3549339.6302407207</v>
      </c>
      <c r="CA61" s="7">
        <f>(Granger_Sales[[#This Row],[final_total]]-AVERAGE(Granger_Sales[sale_price]))^2</f>
        <v>22115854.119590644</v>
      </c>
      <c r="CB61" s="7">
        <f>Granger_Sales[[#This Row],[SSE]]+Granger_Sales[[#This Row],[SSR]]</f>
        <v>25665193.749831364</v>
      </c>
      <c r="CC61" s="12">
        <f>ABS(Granger_Sales[[#This Row],[final_ratio]]-MEDIAN(Granger_Sales[final_ratio]))</f>
        <v>1.6849330646838023E-2</v>
      </c>
    </row>
    <row r="62" spans="1:81" x14ac:dyDescent="0.25">
      <c r="A62">
        <v>21102111535</v>
      </c>
      <c r="B62">
        <v>0.31</v>
      </c>
      <c r="C62">
        <v>13584</v>
      </c>
      <c r="D62">
        <v>0</v>
      </c>
      <c r="E62" t="s">
        <v>54</v>
      </c>
      <c r="F62" t="s">
        <v>54</v>
      </c>
      <c r="G62">
        <v>3</v>
      </c>
      <c r="H62" t="s">
        <v>55</v>
      </c>
      <c r="I62">
        <v>70200</v>
      </c>
      <c r="J62">
        <v>30600</v>
      </c>
      <c r="K62">
        <v>0.31</v>
      </c>
      <c r="L62">
        <v>0</v>
      </c>
      <c r="M62">
        <v>0</v>
      </c>
      <c r="N62">
        <v>0</v>
      </c>
      <c r="O62">
        <v>47108.068500000001</v>
      </c>
      <c r="P62">
        <v>122297.704</v>
      </c>
      <c r="Q62">
        <f>(LN(Granger_Sales[[#This Row],[parcel_acres]])*Granger_Sales[[#This Row],[coeff]])+Granger_Sales[[#This Row],[const]]</f>
        <v>67125.53588132502</v>
      </c>
      <c r="R62" t="s">
        <v>62</v>
      </c>
      <c r="S62">
        <v>1</v>
      </c>
      <c r="T62" t="s">
        <v>78</v>
      </c>
      <c r="U62" t="s">
        <v>79</v>
      </c>
      <c r="V62">
        <v>0</v>
      </c>
      <c r="W62">
        <v>0</v>
      </c>
      <c r="X62">
        <v>52</v>
      </c>
      <c r="Y62">
        <v>88</v>
      </c>
      <c r="Z62">
        <v>90</v>
      </c>
      <c r="AA62">
        <v>1000</v>
      </c>
      <c r="AB62">
        <v>998</v>
      </c>
      <c r="AC62">
        <v>998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5</v>
      </c>
      <c r="AL62">
        <v>0</v>
      </c>
      <c r="AM62">
        <v>0</v>
      </c>
      <c r="AN62" t="s">
        <v>59</v>
      </c>
      <c r="AO62">
        <v>1</v>
      </c>
      <c r="AP62" t="s">
        <v>60</v>
      </c>
      <c r="AQ62" t="s">
        <v>61</v>
      </c>
      <c r="AR62">
        <v>0</v>
      </c>
      <c r="AS62">
        <v>2</v>
      </c>
      <c r="AT62">
        <v>0</v>
      </c>
      <c r="AU62">
        <v>1200</v>
      </c>
      <c r="AV62">
        <v>100</v>
      </c>
      <c r="AW62" s="1">
        <v>44054</v>
      </c>
      <c r="AX62">
        <v>23700</v>
      </c>
      <c r="AY62">
        <v>64584</v>
      </c>
      <c r="AZ62">
        <v>88300</v>
      </c>
      <c r="BA62">
        <v>153000</v>
      </c>
      <c r="BB62">
        <v>873</v>
      </c>
      <c r="BC62">
        <f>Granger_Sales[[#This Row],[land_extract]]*Lookups!$B$3</f>
        <v>39988.749191010458</v>
      </c>
      <c r="BD62">
        <f>Lookups!$B$2</f>
        <v>29703.559000000001</v>
      </c>
      <c r="BE62">
        <f>VLOOKUP(Granger_Sales[[#This Row],[quality]],Lookups!$H$2:$J$12,3,FALSE)</f>
        <v>23737.786340274597</v>
      </c>
      <c r="BF62">
        <f>VLOOKUP(Granger_Sales[[#This Row],[condition]],Lookups!$H$17:$J$24,3,FALSE)</f>
        <v>86727</v>
      </c>
      <c r="BG62">
        <f>Granger_Sales[[#This Row],[Age]]*Lookups!$B$16</f>
        <v>-18245.1368</v>
      </c>
      <c r="BH62">
        <f>Granger_Sales[[#This Row],[living_area]]*Lookups!$B$17</f>
        <v>67138.363182000001</v>
      </c>
      <c r="BI62">
        <f>Granger_Sales[[#This Row],[garage_sqft]]*Lookups!$B$18</f>
        <v>0</v>
      </c>
      <c r="BJ62">
        <f>Granger_Sales[[#This Row],[Patio]]*Lookups!$B$19</f>
        <v>0</v>
      </c>
      <c r="BK62">
        <f>Granger_Sales[[#This Row],[days_prior_to_assessment]]*Lookups!$B$20</f>
        <v>-58632.085529999997</v>
      </c>
      <c r="BL62">
        <f>Granger_Sales[[#This Row],[land_value_1]]</f>
        <v>39988.749191010458</v>
      </c>
      <c r="BM62">
        <f>SUM(Granger_Sales[[#This Row],[Intercept]:[Days_prior_adj]])</f>
        <v>130429.48619227459</v>
      </c>
      <c r="BN62">
        <f>Granger_Sales[[#This Row],[detatched_value]]</f>
        <v>1200</v>
      </c>
      <c r="BO62">
        <f>SUM(Granger_Sales[[#This Row],[predicted_land]:[predicted_det]])</f>
        <v>171618.23538328503</v>
      </c>
      <c r="BP62">
        <f>Granger_Sales[[#This Row],[predicted_total]]/Granger_Sales[[#This Row],[sale_price]]</f>
        <v>1.1216878129626473</v>
      </c>
      <c r="BQ62">
        <f>VLOOKUP(Granger_Sales[[#This Row],[quality]],Lookups!$A$25:$C$35,3,FALSE)</f>
        <v>0.77695375541795109</v>
      </c>
      <c r="BR62">
        <f>VLOOKUP(Granger_Sales[[#This Row],[condition]],Lookups!$A$38:$C$45,3,FALSE)</f>
        <v>0.85322907131620684</v>
      </c>
      <c r="BS62">
        <f>VLOOKUP(Granger_Sales[[#This Row],[decade]],Lookups!$G$28:$I$42,3,FALSE)</f>
        <v>0.95234610137492615</v>
      </c>
      <c r="BT62">
        <f>VLOOKUP(Granger_Sales[[#This Row],[living_area_range]],Lookups!$A$48:$C$57,3,FALSE)</f>
        <v>0.81272404900450645</v>
      </c>
      <c r="BU62">
        <f>Granger_Sales[[#This Row],[predicted_land]]</f>
        <v>39988.749191010458</v>
      </c>
      <c r="BV62">
        <f>Granger_Sales[[#This Row],[predicted_res]]*AVERAGE(Granger_Sales[[#This Row],[qual_adj]:[living_range_adj]])</f>
        <v>110710.27532442907</v>
      </c>
      <c r="BW62">
        <f>Granger_Sales[[#This Row],[predicted_det]]</f>
        <v>1200</v>
      </c>
      <c r="BX62">
        <f>SUM(Granger_Sales[[#This Row],[final_land]:[final_det]])</f>
        <v>151899.02451543952</v>
      </c>
      <c r="BY62">
        <f>Granger_Sales[[#This Row],[final_total]]/Granger_Sales[[#This Row],[sale_price]]</f>
        <v>0.99280408180025836</v>
      </c>
      <c r="BZ62" s="7">
        <f>(Granger_Sales[[#This Row],[final_total]]-Granger_Sales[[#This Row],[sale_price]])^2</f>
        <v>1212147.0176031762</v>
      </c>
      <c r="CA62" s="7">
        <f>(Granger_Sales[[#This Row],[final_total]]-AVERAGE(Granger_Sales[sale_price]))^2</f>
        <v>12031390266.494432</v>
      </c>
      <c r="CB62" s="7">
        <f>Granger_Sales[[#This Row],[SSE]]+Granger_Sales[[#This Row],[SSR]]</f>
        <v>12032602413.512035</v>
      </c>
      <c r="CC62" s="12">
        <f>ABS(Granger_Sales[[#This Row],[final_ratio]]-MEDIAN(Granger_Sales[final_ratio]))</f>
        <v>2.2652982664972399E-3</v>
      </c>
    </row>
    <row r="63" spans="1:81" x14ac:dyDescent="0.25">
      <c r="A63">
        <v>21102112404</v>
      </c>
      <c r="B63">
        <v>0.14000000000000001</v>
      </c>
      <c r="C63">
        <v>0</v>
      </c>
      <c r="D63">
        <v>0</v>
      </c>
      <c r="E63" t="s">
        <v>54</v>
      </c>
      <c r="F63" t="s">
        <v>54</v>
      </c>
      <c r="G63">
        <v>3</v>
      </c>
      <c r="H63" t="s">
        <v>55</v>
      </c>
      <c r="I63">
        <v>97500</v>
      </c>
      <c r="J63">
        <v>25900</v>
      </c>
      <c r="K63">
        <v>0.14000000000000001</v>
      </c>
      <c r="L63">
        <v>0</v>
      </c>
      <c r="M63">
        <v>0</v>
      </c>
      <c r="N63">
        <v>0</v>
      </c>
      <c r="O63">
        <v>47108.068500000001</v>
      </c>
      <c r="P63">
        <v>122297.704</v>
      </c>
      <c r="Q63">
        <f>(LN(Granger_Sales[[#This Row],[parcel_acres]])*Granger_Sales[[#This Row],[coeff]])+Granger_Sales[[#This Row],[const]]</f>
        <v>29677.924883257932</v>
      </c>
      <c r="R63" t="s">
        <v>69</v>
      </c>
      <c r="S63">
        <v>1</v>
      </c>
      <c r="T63" t="s">
        <v>78</v>
      </c>
      <c r="U63" t="s">
        <v>72</v>
      </c>
      <c r="V63">
        <v>0</v>
      </c>
      <c r="W63">
        <v>0</v>
      </c>
      <c r="X63">
        <v>52</v>
      </c>
      <c r="Y63">
        <v>88</v>
      </c>
      <c r="Z63">
        <v>90</v>
      </c>
      <c r="AA63">
        <v>1000</v>
      </c>
      <c r="AB63">
        <v>792</v>
      </c>
      <c r="AC63">
        <v>792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5</v>
      </c>
      <c r="AL63">
        <v>0</v>
      </c>
      <c r="AM63">
        <v>0</v>
      </c>
      <c r="AN63" t="s">
        <v>59</v>
      </c>
      <c r="AO63">
        <v>1</v>
      </c>
      <c r="AP63" t="s">
        <v>60</v>
      </c>
      <c r="AQ63" t="s">
        <v>65</v>
      </c>
      <c r="AR63">
        <v>0</v>
      </c>
      <c r="AS63">
        <v>2</v>
      </c>
      <c r="AT63">
        <v>0</v>
      </c>
      <c r="AU63">
        <v>0</v>
      </c>
      <c r="AV63">
        <v>100</v>
      </c>
      <c r="AW63" s="1">
        <v>43839</v>
      </c>
      <c r="AX63">
        <v>19700</v>
      </c>
      <c r="AY63">
        <v>77447</v>
      </c>
      <c r="AZ63">
        <v>97100</v>
      </c>
      <c r="BA63">
        <v>130000</v>
      </c>
      <c r="BB63">
        <v>1088</v>
      </c>
      <c r="BC63">
        <f>Granger_Sales[[#This Row],[land_extract]]*Lookups!$B$3</f>
        <v>17680.053933043157</v>
      </c>
      <c r="BD63">
        <f>Lookups!$B$2</f>
        <v>29703.559000000001</v>
      </c>
      <c r="BE63">
        <f>VLOOKUP(Granger_Sales[[#This Row],[quality]],Lookups!$H$2:$J$12,3,FALSE)</f>
        <v>23737.786340274597</v>
      </c>
      <c r="BF63">
        <f>VLOOKUP(Granger_Sales[[#This Row],[condition]],Lookups!$H$17:$J$24,3,FALSE)</f>
        <v>94106</v>
      </c>
      <c r="BG63">
        <f>Granger_Sales[[#This Row],[Age]]*Lookups!$B$16</f>
        <v>-18245.1368</v>
      </c>
      <c r="BH63">
        <f>Granger_Sales[[#This Row],[living_area]]*Lookups!$B$17</f>
        <v>53280.143927999998</v>
      </c>
      <c r="BI63">
        <f>Granger_Sales[[#This Row],[garage_sqft]]*Lookups!$B$18</f>
        <v>0</v>
      </c>
      <c r="BJ63">
        <f>Granger_Sales[[#This Row],[Patio]]*Lookups!$B$19</f>
        <v>0</v>
      </c>
      <c r="BK63">
        <f>Granger_Sales[[#This Row],[days_prior_to_assessment]]*Lookups!$B$20</f>
        <v>-73071.831680000003</v>
      </c>
      <c r="BL63">
        <f>Granger_Sales[[#This Row],[land_value_1]]</f>
        <v>17680.053933043157</v>
      </c>
      <c r="BM63">
        <f>SUM(Granger_Sales[[#This Row],[Intercept]:[Days_prior_adj]])</f>
        <v>109510.52078827459</v>
      </c>
      <c r="BN63">
        <f>Granger_Sales[[#This Row],[detatched_value]]</f>
        <v>0</v>
      </c>
      <c r="BO63">
        <f>SUM(Granger_Sales[[#This Row],[predicted_land]:[predicted_det]])</f>
        <v>127190.57472131774</v>
      </c>
      <c r="BP63">
        <f>Granger_Sales[[#This Row],[predicted_total]]/Granger_Sales[[#This Row],[sale_price]]</f>
        <v>0.97838903631782881</v>
      </c>
      <c r="BQ63">
        <f>VLOOKUP(Granger_Sales[[#This Row],[quality]],Lookups!$A$25:$C$35,3,FALSE)</f>
        <v>0.77695375541795109</v>
      </c>
      <c r="BR63">
        <f>VLOOKUP(Granger_Sales[[#This Row],[condition]],Lookups!$A$38:$C$45,3,FALSE)</f>
        <v>0.98658583151544277</v>
      </c>
      <c r="BS63">
        <f>VLOOKUP(Granger_Sales[[#This Row],[decade]],Lookups!$G$28:$I$42,3,FALSE)</f>
        <v>0.95234610137492615</v>
      </c>
      <c r="BT63">
        <f>VLOOKUP(Granger_Sales[[#This Row],[living_area_range]],Lookups!$A$48:$C$57,3,FALSE)</f>
        <v>0.81272404900450645</v>
      </c>
      <c r="BU63">
        <f>Granger_Sales[[#This Row],[predicted_land]]</f>
        <v>17680.053933043157</v>
      </c>
      <c r="BV63">
        <f>Granger_Sales[[#This Row],[predicted_res]]*AVERAGE(Granger_Sales[[#This Row],[qual_adj]:[living_range_adj]])</f>
        <v>96604.972497926094</v>
      </c>
      <c r="BW63">
        <f>Granger_Sales[[#This Row],[predicted_det]]</f>
        <v>0</v>
      </c>
      <c r="BX63">
        <f>SUM(Granger_Sales[[#This Row],[final_land]:[final_det]])</f>
        <v>114285.02643096924</v>
      </c>
      <c r="BY63">
        <f>Granger_Sales[[#This Row],[final_total]]/Granger_Sales[[#This Row],[sale_price]]</f>
        <v>0.87911558793053268</v>
      </c>
      <c r="BZ63" s="7">
        <f>(Granger_Sales[[#This Row],[final_total]]-Granger_Sales[[#This Row],[sale_price]])^2</f>
        <v>246960394.27533528</v>
      </c>
      <c r="CA63" s="7">
        <f>(Granger_Sales[[#This Row],[final_total]]-AVERAGE(Granger_Sales[sale_price]))^2</f>
        <v>21697788560.050404</v>
      </c>
      <c r="CB63" s="7">
        <f>Granger_Sales[[#This Row],[SSE]]+Granger_Sales[[#This Row],[SSR]]</f>
        <v>21944748954.325737</v>
      </c>
      <c r="CC63" s="12">
        <f>ABS(Granger_Sales[[#This Row],[final_ratio]]-MEDIAN(Granger_Sales[final_ratio]))</f>
        <v>0.11142319560322844</v>
      </c>
    </row>
    <row r="64" spans="1:81" x14ac:dyDescent="0.25">
      <c r="A64">
        <v>21102111423</v>
      </c>
      <c r="B64">
        <v>0.2</v>
      </c>
      <c r="C64">
        <v>8603</v>
      </c>
      <c r="D64">
        <v>0</v>
      </c>
      <c r="E64" t="s">
        <v>54</v>
      </c>
      <c r="F64" t="s">
        <v>54</v>
      </c>
      <c r="G64">
        <v>3</v>
      </c>
      <c r="H64" t="s">
        <v>55</v>
      </c>
      <c r="I64">
        <v>57000</v>
      </c>
      <c r="J64">
        <v>28000</v>
      </c>
      <c r="K64">
        <v>0.2</v>
      </c>
      <c r="L64">
        <v>0</v>
      </c>
      <c r="M64">
        <v>0</v>
      </c>
      <c r="N64">
        <v>0</v>
      </c>
      <c r="O64">
        <v>47108.068500000001</v>
      </c>
      <c r="P64">
        <v>122297.704</v>
      </c>
      <c r="Q64">
        <f>(LN(Granger_Sales[[#This Row],[parcel_acres]])*Granger_Sales[[#This Row],[coeff]])+Granger_Sales[[#This Row],[const]]</f>
        <v>46480.192574557397</v>
      </c>
      <c r="R64" t="s">
        <v>69</v>
      </c>
      <c r="S64">
        <v>1</v>
      </c>
      <c r="T64" t="s">
        <v>71</v>
      </c>
      <c r="U64" t="s">
        <v>77</v>
      </c>
      <c r="V64">
        <v>0</v>
      </c>
      <c r="W64">
        <v>0</v>
      </c>
      <c r="X64">
        <v>54</v>
      </c>
      <c r="Y64">
        <v>95</v>
      </c>
      <c r="Z64">
        <v>100</v>
      </c>
      <c r="AA64">
        <v>1000</v>
      </c>
      <c r="AB64">
        <v>660</v>
      </c>
      <c r="AC64">
        <v>660</v>
      </c>
      <c r="AD64">
        <v>0</v>
      </c>
      <c r="AE64">
        <v>0</v>
      </c>
      <c r="AF64">
        <v>200</v>
      </c>
      <c r="AG64">
        <v>0</v>
      </c>
      <c r="AH64">
        <v>0</v>
      </c>
      <c r="AI64">
        <v>160</v>
      </c>
      <c r="AJ64">
        <v>0</v>
      </c>
      <c r="AK64">
        <v>5</v>
      </c>
      <c r="AL64">
        <v>0</v>
      </c>
      <c r="AM64">
        <v>0</v>
      </c>
      <c r="AN64" t="s">
        <v>59</v>
      </c>
      <c r="AO64">
        <v>1</v>
      </c>
      <c r="AP64" t="s">
        <v>60</v>
      </c>
      <c r="AQ64" t="s">
        <v>61</v>
      </c>
      <c r="AR64">
        <v>0</v>
      </c>
      <c r="AS64">
        <v>2</v>
      </c>
      <c r="AT64">
        <v>0</v>
      </c>
      <c r="AU64">
        <v>0</v>
      </c>
      <c r="AV64">
        <v>100</v>
      </c>
      <c r="AW64" s="1">
        <v>44421</v>
      </c>
      <c r="AX64">
        <v>21300</v>
      </c>
      <c r="AY64">
        <v>75015</v>
      </c>
      <c r="AZ64">
        <v>96300</v>
      </c>
      <c r="BA64">
        <v>95000</v>
      </c>
      <c r="BB64">
        <v>506</v>
      </c>
      <c r="BC64">
        <f>Granger_Sales[[#This Row],[land_extract]]*Lookups!$B$3</f>
        <v>27689.682306595139</v>
      </c>
      <c r="BD64">
        <f>Lookups!$B$2</f>
        <v>29703.559000000001</v>
      </c>
      <c r="BE64">
        <f>VLOOKUP(Granger_Sales[[#This Row],[quality]],Lookups!$H$2:$J$12,3,FALSE)</f>
        <v>34195</v>
      </c>
      <c r="BF64">
        <f>VLOOKUP(Granger_Sales[[#This Row],[condition]],Lookups!$H$17:$J$24,3,FALSE)</f>
        <v>33736</v>
      </c>
      <c r="BG64">
        <f>Granger_Sales[[#This Row],[Age]]*Lookups!$B$16</f>
        <v>-19696.4545</v>
      </c>
      <c r="BH64">
        <f>Granger_Sales[[#This Row],[living_area]]*Lookups!$B$17</f>
        <v>44400.119939999997</v>
      </c>
      <c r="BI64">
        <f>Granger_Sales[[#This Row],[garage_sqft]]*Lookups!$B$18</f>
        <v>0</v>
      </c>
      <c r="BJ64">
        <f>Granger_Sales[[#This Row],[Patio]]*Lookups!$B$19</f>
        <v>0</v>
      </c>
      <c r="BK64">
        <f>Granger_Sales[[#This Row],[days_prior_to_assessment]]*Lookups!$B$20</f>
        <v>-33983.774659999995</v>
      </c>
      <c r="BL64">
        <f>Granger_Sales[[#This Row],[land_value_1]]</f>
        <v>27689.682306595139</v>
      </c>
      <c r="BM64">
        <f>SUM(Granger_Sales[[#This Row],[Intercept]:[Days_prior_adj]])</f>
        <v>88354.449780000024</v>
      </c>
      <c r="BN64">
        <f>Granger_Sales[[#This Row],[detatched_value]]</f>
        <v>0</v>
      </c>
      <c r="BO64">
        <f>SUM(Granger_Sales[[#This Row],[predicted_land]:[predicted_det]])</f>
        <v>116044.13208659517</v>
      </c>
      <c r="BP64">
        <f>Granger_Sales[[#This Row],[predicted_total]]/Granger_Sales[[#This Row],[sale_price]]</f>
        <v>1.2215171798588966</v>
      </c>
      <c r="BQ64">
        <f>VLOOKUP(Granger_Sales[[#This Row],[quality]],Lookups!$A$25:$C$35,3,FALSE)</f>
        <v>0.98258795897788032</v>
      </c>
      <c r="BR64">
        <f>VLOOKUP(Granger_Sales[[#This Row],[condition]],Lookups!$A$38:$C$45,3,FALSE)</f>
        <v>0.92294678898076177</v>
      </c>
      <c r="BS64">
        <f>VLOOKUP(Granger_Sales[[#This Row],[decade]],Lookups!$G$28:$I$42,3,FALSE)</f>
        <v>0.879441629375324</v>
      </c>
      <c r="BT64">
        <f>VLOOKUP(Granger_Sales[[#This Row],[living_area_range]],Lookups!$A$48:$C$57,3,FALSE)</f>
        <v>0.81272404900450645</v>
      </c>
      <c r="BU64">
        <f>Granger_Sales[[#This Row],[predicted_land]]</f>
        <v>27689.682306595139</v>
      </c>
      <c r="BV64">
        <f>Granger_Sales[[#This Row],[predicted_res]]*AVERAGE(Granger_Sales[[#This Row],[qual_adj]:[living_range_adj]])</f>
        <v>79468.210410601809</v>
      </c>
      <c r="BW64">
        <f>Granger_Sales[[#This Row],[predicted_det]]</f>
        <v>0</v>
      </c>
      <c r="BX64">
        <f>SUM(Granger_Sales[[#This Row],[final_land]:[final_det]])</f>
        <v>107157.89271719696</v>
      </c>
      <c r="BY64">
        <f>Granger_Sales[[#This Row],[final_total]]/Granger_Sales[[#This Row],[sale_price]]</f>
        <v>1.1279778180757574</v>
      </c>
      <c r="BZ64" s="7">
        <f>(Granger_Sales[[#This Row],[final_total]]-Granger_Sales[[#This Row],[sale_price]])^2</f>
        <v>147814355.32287076</v>
      </c>
      <c r="CA64" s="7">
        <f>(Granger_Sales[[#This Row],[final_total]]-AVERAGE(Granger_Sales[sale_price]))^2</f>
        <v>23848262309.869747</v>
      </c>
      <c r="CB64" s="7">
        <f>Granger_Sales[[#This Row],[SSE]]+Granger_Sales[[#This Row],[SSR]]</f>
        <v>23996076665.192619</v>
      </c>
      <c r="CC64" s="12">
        <f>ABS(Granger_Sales[[#This Row],[final_ratio]]-MEDIAN(Granger_Sales[final_ratio]))</f>
        <v>0.13743903454199624</v>
      </c>
    </row>
    <row r="65" spans="1:81" x14ac:dyDescent="0.25">
      <c r="A65">
        <v>21101643400</v>
      </c>
      <c r="B65">
        <v>0.4</v>
      </c>
      <c r="C65">
        <v>17542</v>
      </c>
      <c r="D65">
        <v>0</v>
      </c>
      <c r="E65" t="s">
        <v>54</v>
      </c>
      <c r="F65" t="s">
        <v>54</v>
      </c>
      <c r="G65">
        <v>3</v>
      </c>
      <c r="H65" t="s">
        <v>55</v>
      </c>
      <c r="I65">
        <v>262400</v>
      </c>
      <c r="J65">
        <v>30100</v>
      </c>
      <c r="K65">
        <v>0.4</v>
      </c>
      <c r="L65">
        <v>0</v>
      </c>
      <c r="M65">
        <v>0</v>
      </c>
      <c r="N65">
        <v>0</v>
      </c>
      <c r="O65">
        <v>47108.068500000001</v>
      </c>
      <c r="P65">
        <v>122297.704</v>
      </c>
      <c r="Q65">
        <f>(LN(Granger_Sales[[#This Row],[parcel_acres]])*Granger_Sales[[#This Row],[coeff]])+Granger_Sales[[#This Row],[const]]</f>
        <v>79133.017436957161</v>
      </c>
      <c r="R65" t="s">
        <v>62</v>
      </c>
      <c r="S65">
        <v>2</v>
      </c>
      <c r="T65" t="s">
        <v>64</v>
      </c>
      <c r="U65" t="s">
        <v>72</v>
      </c>
      <c r="V65">
        <v>0</v>
      </c>
      <c r="W65">
        <v>0</v>
      </c>
      <c r="X65">
        <v>57</v>
      </c>
      <c r="Y65">
        <v>103</v>
      </c>
      <c r="Z65">
        <v>100</v>
      </c>
      <c r="AA65">
        <v>2000</v>
      </c>
      <c r="AB65">
        <v>1932</v>
      </c>
      <c r="AC65">
        <v>1420</v>
      </c>
      <c r="AD65">
        <v>512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12</v>
      </c>
      <c r="AL65">
        <v>0</v>
      </c>
      <c r="AM65">
        <v>0</v>
      </c>
      <c r="AN65" t="s">
        <v>59</v>
      </c>
      <c r="AO65">
        <v>1</v>
      </c>
      <c r="AP65" t="s">
        <v>60</v>
      </c>
      <c r="AQ65" t="s">
        <v>61</v>
      </c>
      <c r="AR65">
        <v>0</v>
      </c>
      <c r="AS65">
        <v>4</v>
      </c>
      <c r="AT65">
        <v>0</v>
      </c>
      <c r="AU65">
        <v>11600</v>
      </c>
      <c r="AV65">
        <v>100</v>
      </c>
      <c r="AW65" s="1">
        <v>44232</v>
      </c>
      <c r="AX65">
        <v>22000</v>
      </c>
      <c r="AY65">
        <v>188321</v>
      </c>
      <c r="AZ65">
        <v>210300</v>
      </c>
      <c r="BA65">
        <v>267000</v>
      </c>
      <c r="BB65">
        <v>695</v>
      </c>
      <c r="BC65">
        <f>Granger_Sales[[#This Row],[land_extract]]*Lookups!$B$3</f>
        <v>47141.975784132439</v>
      </c>
      <c r="BD65">
        <f>Lookups!$B$2</f>
        <v>29703.559000000001</v>
      </c>
      <c r="BE65">
        <f>VLOOKUP(Granger_Sales[[#This Row],[quality]],Lookups!$H$2:$J$12,3,FALSE)</f>
        <v>36568</v>
      </c>
      <c r="BF65">
        <f>VLOOKUP(Granger_Sales[[#This Row],[condition]],Lookups!$H$17:$J$24,3,FALSE)</f>
        <v>94106</v>
      </c>
      <c r="BG65">
        <f>Granger_Sales[[#This Row],[Age]]*Lookups!$B$16</f>
        <v>-21355.103299999999</v>
      </c>
      <c r="BH65">
        <f>Granger_Sales[[#This Row],[living_area]]*Lookups!$B$17</f>
        <v>129971.260188</v>
      </c>
      <c r="BI65">
        <f>Granger_Sales[[#This Row],[garage_sqft]]*Lookups!$B$18</f>
        <v>0</v>
      </c>
      <c r="BJ65">
        <f>Granger_Sales[[#This Row],[Patio]]*Lookups!$B$19</f>
        <v>0</v>
      </c>
      <c r="BK65">
        <f>Granger_Sales[[#This Row],[days_prior_to_assessment]]*Lookups!$B$20</f>
        <v>-46677.318950000001</v>
      </c>
      <c r="BL65">
        <f>Granger_Sales[[#This Row],[land_value_1]]</f>
        <v>47141.975784132439</v>
      </c>
      <c r="BM65">
        <f>SUM(Granger_Sales[[#This Row],[Intercept]:[Days_prior_adj]])</f>
        <v>222316.39693800005</v>
      </c>
      <c r="BN65">
        <f>Granger_Sales[[#This Row],[detatched_value]]</f>
        <v>11600</v>
      </c>
      <c r="BO65">
        <f>SUM(Granger_Sales[[#This Row],[predicted_land]:[predicted_det]])</f>
        <v>281058.37272213248</v>
      </c>
      <c r="BP65">
        <f>Granger_Sales[[#This Row],[predicted_total]]/Granger_Sales[[#This Row],[sale_price]]</f>
        <v>1.0526530813563015</v>
      </c>
      <c r="BQ65">
        <f>VLOOKUP(Granger_Sales[[#This Row],[quality]],Lookups!$A$25:$C$35,3,FALSE)</f>
        <v>0.99049976351917957</v>
      </c>
      <c r="BR65">
        <f>VLOOKUP(Granger_Sales[[#This Row],[condition]],Lookups!$A$38:$C$45,3,FALSE)</f>
        <v>0.98658583151544277</v>
      </c>
      <c r="BS65">
        <f>VLOOKUP(Granger_Sales[[#This Row],[decade]],Lookups!$G$28:$I$42,3,FALSE)</f>
        <v>0.879441629375324</v>
      </c>
      <c r="BT65">
        <f>VLOOKUP(Granger_Sales[[#This Row],[living_area_range]],Lookups!$A$48:$C$57,3,FALSE)</f>
        <v>0.97860968051050168</v>
      </c>
      <c r="BU65">
        <f>Granger_Sales[[#This Row],[predicted_land]]</f>
        <v>47141.975784132439</v>
      </c>
      <c r="BV65">
        <f>Granger_Sales[[#This Row],[predicted_res]]*AVERAGE(Granger_Sales[[#This Row],[qual_adj]:[living_range_adj]])</f>
        <v>213153.45461646683</v>
      </c>
      <c r="BW65">
        <f>Granger_Sales[[#This Row],[predicted_det]]</f>
        <v>11600</v>
      </c>
      <c r="BX65">
        <f>SUM(Granger_Sales[[#This Row],[final_land]:[final_det]])</f>
        <v>271895.43040059926</v>
      </c>
      <c r="BY65">
        <f>Granger_Sales[[#This Row],[final_total]]/Granger_Sales[[#This Row],[sale_price]]</f>
        <v>1.0183349453205965</v>
      </c>
      <c r="BZ65" s="7">
        <f>(Granger_Sales[[#This Row],[final_total]]-Granger_Sales[[#This Row],[sale_price]])^2</f>
        <v>23965238.807111431</v>
      </c>
      <c r="CA65" s="7">
        <f>(Granger_Sales[[#This Row],[final_total]]-AVERAGE(Granger_Sales[sale_price]))^2</f>
        <v>106269535.89520092</v>
      </c>
      <c r="CB65" s="7">
        <f>Granger_Sales[[#This Row],[SSE]]+Granger_Sales[[#This Row],[SSR]]</f>
        <v>130234774.70231235</v>
      </c>
      <c r="CC65" s="12">
        <f>ABS(Granger_Sales[[#This Row],[final_ratio]]-MEDIAN(Granger_Sales[final_ratio]))</f>
        <v>2.7796161786835416E-2</v>
      </c>
    </row>
    <row r="67" spans="1:81" x14ac:dyDescent="0.25">
      <c r="BZ67" s="7">
        <f>SUM(Granger_Sales[SSE])</f>
        <v>33933180317.64415</v>
      </c>
      <c r="CA67" s="7">
        <f>SUM(Granger_Sales[SSR])</f>
        <v>435807379538.90094</v>
      </c>
      <c r="CB67" s="7">
        <f>SUM(Granger_Sales[SST])</f>
        <v>469740559856.5451</v>
      </c>
    </row>
    <row r="69" spans="1:81" x14ac:dyDescent="0.25">
      <c r="BX69" s="5"/>
      <c r="BZ69" t="s">
        <v>176</v>
      </c>
      <c r="CC69" s="5">
        <f>AVERAGE(Granger_Sales[sale_price])</f>
        <v>261586.71875</v>
      </c>
    </row>
    <row r="70" spans="1:81" x14ac:dyDescent="0.25">
      <c r="BX70" s="5"/>
      <c r="BZ70" t="s">
        <v>177</v>
      </c>
      <c r="CC70" s="5">
        <f>MEDIAN(Granger_Sales[sale_price])</f>
        <v>250000</v>
      </c>
    </row>
    <row r="71" spans="1:81" x14ac:dyDescent="0.25">
      <c r="BX71" s="5"/>
      <c r="BZ71" t="s">
        <v>178</v>
      </c>
      <c r="CC71">
        <f>COUNT(Granger_Sales[sale_price])</f>
        <v>64</v>
      </c>
    </row>
    <row r="72" spans="1:81" x14ac:dyDescent="0.25">
      <c r="BX72" s="5"/>
      <c r="BZ72" s="13" t="s">
        <v>172</v>
      </c>
      <c r="CA72" s="13"/>
      <c r="CB72" s="13"/>
      <c r="CC72" s="14">
        <f>MEDIAN(Granger_Sales[final_ratio])</f>
        <v>0.99053878353376112</v>
      </c>
    </row>
    <row r="73" spans="1:81" x14ac:dyDescent="0.25">
      <c r="BX73" s="5"/>
      <c r="BZ73" t="s">
        <v>134</v>
      </c>
      <c r="CC73" s="4">
        <f>AVERAGE(Granger_Sales[final_ratio])</f>
        <v>1.0083782992218482</v>
      </c>
    </row>
    <row r="74" spans="1:81" x14ac:dyDescent="0.25">
      <c r="BV74" s="7"/>
      <c r="BZ74" t="s">
        <v>135</v>
      </c>
      <c r="CC74" s="4">
        <f>SUM(Granger_Sales[final_total])/SUM(Granger_Sales[sale_price])</f>
        <v>0.99085840129685832</v>
      </c>
    </row>
    <row r="75" spans="1:81" x14ac:dyDescent="0.25">
      <c r="BV75" s="7"/>
      <c r="BZ75" s="15" t="s">
        <v>179</v>
      </c>
      <c r="CA75" s="15"/>
      <c r="CB75" s="15"/>
      <c r="CC75" s="16">
        <f>AVERAGE(Granger_Sales[ABS Deviation from Median])/CC72</f>
        <v>8.3237978239455057E-2</v>
      </c>
    </row>
    <row r="76" spans="1:81" x14ac:dyDescent="0.25">
      <c r="BV76" s="7"/>
      <c r="BZ76" s="17" t="s">
        <v>180</v>
      </c>
      <c r="CA76" s="17"/>
      <c r="CB76" s="17"/>
      <c r="CC76" s="18">
        <f>CC73/CC74</f>
        <v>1.0176815354263127</v>
      </c>
    </row>
    <row r="77" spans="1:81" x14ac:dyDescent="0.25">
      <c r="BX77" s="5"/>
      <c r="BZ77" t="s">
        <v>181</v>
      </c>
      <c r="CC77" s="11">
        <f>CC78/CC69</f>
        <v>8.8720977372658161E-2</v>
      </c>
    </row>
    <row r="78" spans="1:81" x14ac:dyDescent="0.25">
      <c r="BX78" s="5"/>
      <c r="BZ78" t="s">
        <v>182</v>
      </c>
      <c r="CC78" s="5">
        <f>SQRT(SUM(Granger_Sales[SSE])/(CC71-1))</f>
        <v>23208.229355206644</v>
      </c>
    </row>
    <row r="79" spans="1:81" x14ac:dyDescent="0.25">
      <c r="BV79" s="7"/>
      <c r="BX79" s="5"/>
      <c r="BZ79" t="s">
        <v>183</v>
      </c>
      <c r="CC79" s="19">
        <f>SUM(Granger_Sales[SSR])/SUM(Granger_Sales[SST])</f>
        <v>0.92776186853439468</v>
      </c>
    </row>
    <row r="80" spans="1:81" x14ac:dyDescent="0.25">
      <c r="BZ80" t="s">
        <v>184</v>
      </c>
      <c r="CC80" s="5">
        <f>SQRT(SUM(Granger_Sales[SSE])/CC71)</f>
        <v>23026.201216509635</v>
      </c>
    </row>
    <row r="81" spans="78:81" x14ac:dyDescent="0.25">
      <c r="BZ81" t="s">
        <v>185</v>
      </c>
      <c r="CC81" s="11">
        <f>CC80/CC69</f>
        <v>8.8025115825990818E-2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9407-4D30-4E18-8B7E-A0BBB9FBA205}">
  <dimension ref="A1:J57"/>
  <sheetViews>
    <sheetView topLeftCell="A13" workbookViewId="0">
      <selection activeCell="V16" sqref="V16"/>
    </sheetView>
  </sheetViews>
  <sheetFormatPr defaultRowHeight="15" x14ac:dyDescent="0.25"/>
  <cols>
    <col min="1" max="1" width="42.5703125" bestFit="1" customWidth="1"/>
    <col min="2" max="2" width="10" bestFit="1" customWidth="1"/>
    <col min="3" max="3" width="9" bestFit="1" customWidth="1"/>
    <col min="4" max="4" width="6.7109375" bestFit="1" customWidth="1"/>
    <col min="5" max="5" width="8.85546875" bestFit="1" customWidth="1"/>
  </cols>
  <sheetData>
    <row r="1" spans="1:10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H1" t="s">
        <v>19</v>
      </c>
    </row>
    <row r="2" spans="1:10" x14ac:dyDescent="0.25">
      <c r="A2" t="s">
        <v>89</v>
      </c>
      <c r="B2">
        <v>29703.559000000001</v>
      </c>
      <c r="C2">
        <v>34448.94</v>
      </c>
      <c r="D2">
        <v>0.86</v>
      </c>
      <c r="E2">
        <v>0.39300000000000002</v>
      </c>
      <c r="G2">
        <v>1</v>
      </c>
      <c r="H2" t="s">
        <v>107</v>
      </c>
      <c r="J2" s="7">
        <f>10325*EXP(0.2775*G2)</f>
        <v>13627.20468015931</v>
      </c>
    </row>
    <row r="3" spans="1:10" x14ac:dyDescent="0.25">
      <c r="A3" t="s">
        <v>16</v>
      </c>
      <c r="B3">
        <v>0.5957308</v>
      </c>
      <c r="C3">
        <v>0.18468599999999999</v>
      </c>
      <c r="D3">
        <v>3.23</v>
      </c>
      <c r="E3">
        <v>2.3E-3</v>
      </c>
      <c r="G3">
        <v>2</v>
      </c>
      <c r="H3" t="s">
        <v>106</v>
      </c>
      <c r="J3" s="7">
        <f t="shared" ref="J3:J4" si="0">10325*EXP(0.2775*G3)</f>
        <v>17985.540667792327</v>
      </c>
    </row>
    <row r="4" spans="1:10" x14ac:dyDescent="0.25">
      <c r="G4">
        <v>3</v>
      </c>
      <c r="H4" t="s">
        <v>78</v>
      </c>
      <c r="I4">
        <v>0</v>
      </c>
      <c r="J4" s="7">
        <f t="shared" si="0"/>
        <v>23737.786340274597</v>
      </c>
    </row>
    <row r="5" spans="1:10" x14ac:dyDescent="0.25">
      <c r="A5" t="s">
        <v>90</v>
      </c>
      <c r="B5">
        <v>34194.661</v>
      </c>
      <c r="C5">
        <v>24591.39</v>
      </c>
      <c r="D5">
        <v>1.39</v>
      </c>
      <c r="E5">
        <v>0.1711</v>
      </c>
      <c r="G5">
        <v>4</v>
      </c>
      <c r="H5" t="s">
        <v>71</v>
      </c>
      <c r="I5">
        <v>34195</v>
      </c>
      <c r="J5" s="7">
        <v>34195</v>
      </c>
    </row>
    <row r="6" spans="1:10" x14ac:dyDescent="0.25">
      <c r="A6" t="s">
        <v>91</v>
      </c>
      <c r="B6">
        <v>2373.5698000000002</v>
      </c>
      <c r="C6">
        <v>13410.28</v>
      </c>
      <c r="D6">
        <v>0.18</v>
      </c>
      <c r="E6">
        <v>0.86029999999999995</v>
      </c>
      <c r="G6">
        <v>5</v>
      </c>
      <c r="H6" t="s">
        <v>64</v>
      </c>
      <c r="I6">
        <v>36568</v>
      </c>
      <c r="J6" s="7">
        <v>36568</v>
      </c>
    </row>
    <row r="7" spans="1:10" x14ac:dyDescent="0.25">
      <c r="A7" t="s">
        <v>92</v>
      </c>
      <c r="B7">
        <v>19845.964</v>
      </c>
      <c r="C7">
        <v>11453.65</v>
      </c>
      <c r="D7">
        <v>1.73</v>
      </c>
      <c r="E7">
        <v>8.9800000000000005E-2</v>
      </c>
      <c r="G7">
        <v>6</v>
      </c>
      <c r="H7" t="s">
        <v>57</v>
      </c>
      <c r="I7">
        <v>56414</v>
      </c>
      <c r="J7" s="7">
        <v>56414</v>
      </c>
    </row>
    <row r="8" spans="1:10" x14ac:dyDescent="0.25">
      <c r="A8" t="s">
        <v>93</v>
      </c>
      <c r="B8">
        <v>15353.141</v>
      </c>
      <c r="C8">
        <v>13080.99</v>
      </c>
      <c r="D8">
        <v>1.17</v>
      </c>
      <c r="E8">
        <v>0.24660000000000001</v>
      </c>
      <c r="G8">
        <v>7</v>
      </c>
      <c r="H8" t="s">
        <v>61</v>
      </c>
      <c r="I8">
        <v>71767</v>
      </c>
      <c r="J8" s="7">
        <v>71767</v>
      </c>
    </row>
    <row r="9" spans="1:10" x14ac:dyDescent="0.25">
      <c r="A9" t="s">
        <v>94</v>
      </c>
      <c r="B9">
        <v>22599.117999999999</v>
      </c>
      <c r="C9">
        <v>36357.480000000003</v>
      </c>
      <c r="D9">
        <v>0.62</v>
      </c>
      <c r="E9">
        <v>0.5373</v>
      </c>
      <c r="G9">
        <v>8</v>
      </c>
      <c r="H9" t="s">
        <v>74</v>
      </c>
      <c r="I9">
        <v>94366</v>
      </c>
      <c r="J9" s="7">
        <v>94366</v>
      </c>
    </row>
    <row r="10" spans="1:10" x14ac:dyDescent="0.25">
      <c r="A10" t="s">
        <v>95</v>
      </c>
      <c r="B10">
        <v>127400.57</v>
      </c>
      <c r="C10">
        <v>49867.74</v>
      </c>
      <c r="D10">
        <v>2.5499999999999998</v>
      </c>
      <c r="E10">
        <v>1.4E-2</v>
      </c>
      <c r="G10">
        <v>9</v>
      </c>
      <c r="H10" t="s">
        <v>104</v>
      </c>
      <c r="J10" s="9">
        <f>10325*EXP(0.2775*G10)</f>
        <v>125470.18226732589</v>
      </c>
    </row>
    <row r="11" spans="1:10" x14ac:dyDescent="0.25">
      <c r="A11" t="s">
        <v>96</v>
      </c>
      <c r="B11">
        <v>86726.953999999998</v>
      </c>
      <c r="C11">
        <v>33947.97</v>
      </c>
      <c r="D11">
        <v>2.5499999999999998</v>
      </c>
      <c r="E11">
        <v>1.4E-2</v>
      </c>
      <c r="G11">
        <v>10</v>
      </c>
      <c r="H11" t="s">
        <v>105</v>
      </c>
      <c r="J11" s="9">
        <f>10325*EXP(0.2775*G11)</f>
        <v>165598.82373014485</v>
      </c>
    </row>
    <row r="12" spans="1:10" x14ac:dyDescent="0.25">
      <c r="A12" t="s">
        <v>97</v>
      </c>
      <c r="B12">
        <v>-52990.52</v>
      </c>
      <c r="C12">
        <v>27605.39</v>
      </c>
      <c r="D12">
        <v>-1.92</v>
      </c>
      <c r="E12">
        <v>6.1100000000000002E-2</v>
      </c>
      <c r="G12">
        <v>11</v>
      </c>
      <c r="H12" t="s">
        <v>65</v>
      </c>
      <c r="I12">
        <v>221767</v>
      </c>
      <c r="J12" s="7">
        <v>221767</v>
      </c>
    </row>
    <row r="13" spans="1:10" x14ac:dyDescent="0.25">
      <c r="A13" t="s">
        <v>98</v>
      </c>
      <c r="B13">
        <v>60369.936999999998</v>
      </c>
      <c r="C13">
        <v>16205.96</v>
      </c>
      <c r="D13">
        <v>3.73</v>
      </c>
      <c r="E13">
        <v>5.0000000000000001E-4</v>
      </c>
      <c r="G13">
        <v>12</v>
      </c>
      <c r="H13" t="s">
        <v>151</v>
      </c>
      <c r="J13" s="9">
        <f t="shared" ref="J13:J14" si="1">10325*EXP(0.2775*G13)</f>
        <v>288463.37808591692</v>
      </c>
    </row>
    <row r="14" spans="1:10" x14ac:dyDescent="0.25">
      <c r="A14" t="s">
        <v>99</v>
      </c>
      <c r="B14">
        <v>-13411.28</v>
      </c>
      <c r="C14">
        <v>19704.55</v>
      </c>
      <c r="D14">
        <v>-0.68</v>
      </c>
      <c r="E14">
        <v>0.4995</v>
      </c>
      <c r="G14">
        <v>13</v>
      </c>
      <c r="H14" t="s">
        <v>152</v>
      </c>
      <c r="J14" s="9">
        <f t="shared" si="1"/>
        <v>380721.50081423466</v>
      </c>
    </row>
    <row r="15" spans="1:10" x14ac:dyDescent="0.25">
      <c r="A15" t="s">
        <v>100</v>
      </c>
      <c r="B15">
        <v>21079.154999999999</v>
      </c>
      <c r="C15">
        <v>17863.54</v>
      </c>
      <c r="D15">
        <v>1.18</v>
      </c>
      <c r="E15">
        <v>0.24410000000000001</v>
      </c>
    </row>
    <row r="16" spans="1:10" x14ac:dyDescent="0.25">
      <c r="A16" t="s">
        <v>24</v>
      </c>
      <c r="B16">
        <v>-207.33109999999999</v>
      </c>
      <c r="C16">
        <v>268.25470000000001</v>
      </c>
      <c r="D16">
        <v>-0.77</v>
      </c>
      <c r="E16">
        <v>0.44350000000000001</v>
      </c>
      <c r="H16" t="s">
        <v>20</v>
      </c>
    </row>
    <row r="17" spans="1:10" x14ac:dyDescent="0.25">
      <c r="A17" t="s">
        <v>101</v>
      </c>
      <c r="B17">
        <v>67.272908999999999</v>
      </c>
      <c r="C17">
        <v>17.16639</v>
      </c>
      <c r="D17">
        <v>3.92</v>
      </c>
      <c r="E17">
        <v>2.9999999999999997E-4</v>
      </c>
      <c r="G17">
        <v>1</v>
      </c>
      <c r="H17" t="s">
        <v>108</v>
      </c>
      <c r="J17" s="10">
        <f>(G17*19070)-29902</f>
        <v>-10832</v>
      </c>
    </row>
    <row r="18" spans="1:10" x14ac:dyDescent="0.25">
      <c r="A18" t="s">
        <v>32</v>
      </c>
      <c r="B18">
        <v>48.447586000000001</v>
      </c>
      <c r="C18">
        <v>25.545089999999998</v>
      </c>
      <c r="D18">
        <v>1.9</v>
      </c>
      <c r="E18">
        <v>6.4199999999999993E-2</v>
      </c>
      <c r="G18">
        <v>2</v>
      </c>
      <c r="H18" t="s">
        <v>109</v>
      </c>
      <c r="J18" s="10">
        <f t="shared" ref="J18:J19" si="2">(G18*19070)-29902</f>
        <v>8238</v>
      </c>
    </row>
    <row r="19" spans="1:10" x14ac:dyDescent="0.25">
      <c r="A19" t="s">
        <v>35</v>
      </c>
      <c r="B19">
        <v>54.315095999999997</v>
      </c>
      <c r="C19">
        <v>23.0442</v>
      </c>
      <c r="D19">
        <v>2.36</v>
      </c>
      <c r="E19">
        <v>2.2700000000000001E-2</v>
      </c>
      <c r="G19">
        <v>3</v>
      </c>
      <c r="H19" t="s">
        <v>82</v>
      </c>
      <c r="I19">
        <v>0</v>
      </c>
      <c r="J19" s="10">
        <f t="shared" si="2"/>
        <v>27308</v>
      </c>
    </row>
    <row r="20" spans="1:10" x14ac:dyDescent="0.25">
      <c r="A20" t="s">
        <v>102</v>
      </c>
      <c r="B20">
        <v>-67.161609999999996</v>
      </c>
      <c r="C20">
        <v>12.853770000000001</v>
      </c>
      <c r="D20">
        <v>-5.23</v>
      </c>
      <c r="E20" t="s">
        <v>103</v>
      </c>
      <c r="G20">
        <v>4</v>
      </c>
      <c r="H20" t="s">
        <v>79</v>
      </c>
      <c r="I20">
        <v>86727</v>
      </c>
      <c r="J20">
        <v>86727</v>
      </c>
    </row>
    <row r="21" spans="1:10" x14ac:dyDescent="0.25">
      <c r="G21">
        <v>5</v>
      </c>
      <c r="H21" t="s">
        <v>77</v>
      </c>
      <c r="I21">
        <v>33736</v>
      </c>
      <c r="J21">
        <v>33736</v>
      </c>
    </row>
    <row r="22" spans="1:10" x14ac:dyDescent="0.25">
      <c r="G22">
        <v>6</v>
      </c>
      <c r="H22" t="s">
        <v>72</v>
      </c>
      <c r="I22">
        <v>94106</v>
      </c>
      <c r="J22">
        <v>94106</v>
      </c>
    </row>
    <row r="23" spans="1:10" x14ac:dyDescent="0.25">
      <c r="G23">
        <v>7</v>
      </c>
      <c r="H23" t="s">
        <v>70</v>
      </c>
      <c r="I23">
        <v>80695</v>
      </c>
      <c r="J23">
        <v>80695</v>
      </c>
    </row>
    <row r="24" spans="1:10" x14ac:dyDescent="0.25">
      <c r="G24">
        <v>8</v>
      </c>
      <c r="H24" t="s">
        <v>58</v>
      </c>
      <c r="I24">
        <v>101774</v>
      </c>
      <c r="J24">
        <v>101774</v>
      </c>
    </row>
    <row r="25" spans="1:10" x14ac:dyDescent="0.25">
      <c r="A25" t="s">
        <v>107</v>
      </c>
      <c r="B25" s="4">
        <f>B30</f>
        <v>1.2870778898057638</v>
      </c>
      <c r="C25" s="4">
        <f t="shared" ref="C25:C34" si="3">1/B25</f>
        <v>0.77695375541795109</v>
      </c>
    </row>
    <row r="26" spans="1:10" x14ac:dyDescent="0.25">
      <c r="A26" t="s">
        <v>106</v>
      </c>
      <c r="B26" s="4">
        <f>B30</f>
        <v>1.2870778898057638</v>
      </c>
      <c r="C26" s="4">
        <f t="shared" si="3"/>
        <v>0.77695375541795109</v>
      </c>
    </row>
    <row r="27" spans="1:10" x14ac:dyDescent="0.25">
      <c r="A27" s="3" t="s">
        <v>64</v>
      </c>
      <c r="B27" s="4">
        <v>1.0095913566370442</v>
      </c>
      <c r="C27" s="4">
        <f t="shared" si="3"/>
        <v>0.99049976351917957</v>
      </c>
    </row>
    <row r="28" spans="1:10" x14ac:dyDescent="0.25">
      <c r="A28" s="3" t="s">
        <v>57</v>
      </c>
      <c r="B28" s="4">
        <v>1.0122296666163964</v>
      </c>
      <c r="C28" s="4">
        <f t="shared" si="3"/>
        <v>0.98791809110152173</v>
      </c>
      <c r="G28" s="3">
        <v>0</v>
      </c>
      <c r="H28" s="4">
        <v>1.0004899733552703</v>
      </c>
      <c r="I28" s="4">
        <f>1/H28</f>
        <v>0.99951026660104636</v>
      </c>
    </row>
    <row r="29" spans="1:10" x14ac:dyDescent="0.25">
      <c r="A29" s="3" t="s">
        <v>65</v>
      </c>
      <c r="B29" s="4">
        <v>0.99999600934802679</v>
      </c>
      <c r="C29" s="4">
        <f t="shared" si="3"/>
        <v>1.0000039906678986</v>
      </c>
      <c r="G29" s="3">
        <v>10</v>
      </c>
      <c r="H29" s="4">
        <v>1.0467657007881168</v>
      </c>
      <c r="I29" s="4">
        <f t="shared" ref="I29:I42" si="4">1/H29</f>
        <v>0.95532362136731586</v>
      </c>
    </row>
    <row r="30" spans="1:10" x14ac:dyDescent="0.25">
      <c r="A30" s="3" t="s">
        <v>78</v>
      </c>
      <c r="B30" s="4">
        <v>1.2870778898057638</v>
      </c>
      <c r="C30" s="4">
        <f t="shared" si="3"/>
        <v>0.77695375541795109</v>
      </c>
      <c r="G30" s="3">
        <v>20</v>
      </c>
      <c r="H30" s="4">
        <v>0.9843332476105523</v>
      </c>
      <c r="I30" s="4">
        <f t="shared" si="4"/>
        <v>1.0159161060824455</v>
      </c>
    </row>
    <row r="31" spans="1:10" x14ac:dyDescent="0.25">
      <c r="A31" s="3" t="s">
        <v>71</v>
      </c>
      <c r="B31" s="4">
        <v>1.0177205927093105</v>
      </c>
      <c r="C31" s="4">
        <f t="shared" si="3"/>
        <v>0.98258795897788032</v>
      </c>
      <c r="G31" s="3">
        <v>30</v>
      </c>
      <c r="H31" s="4">
        <v>0.94881425615750659</v>
      </c>
      <c r="I31" s="4">
        <f t="shared" si="4"/>
        <v>1.0539470644652671</v>
      </c>
    </row>
    <row r="32" spans="1:10" x14ac:dyDescent="0.25">
      <c r="A32" s="3" t="s">
        <v>61</v>
      </c>
      <c r="B32" s="4">
        <v>1.0079702230554393</v>
      </c>
      <c r="C32" s="4">
        <f t="shared" si="3"/>
        <v>0.992092799099482</v>
      </c>
      <c r="G32" s="3">
        <v>40</v>
      </c>
      <c r="H32" s="4">
        <v>1.0190811786140483</v>
      </c>
      <c r="I32" s="4">
        <f t="shared" si="4"/>
        <v>0.98127609555109363</v>
      </c>
    </row>
    <row r="33" spans="1:9" x14ac:dyDescent="0.25">
      <c r="A33" s="3" t="s">
        <v>74</v>
      </c>
      <c r="B33" s="4">
        <v>1.0000424601120621</v>
      </c>
      <c r="C33" s="4">
        <f t="shared" si="3"/>
        <v>0.99995754169072248</v>
      </c>
      <c r="G33" s="3">
        <v>50</v>
      </c>
      <c r="H33" s="4">
        <v>0.80378777776939747</v>
      </c>
      <c r="I33" s="4">
        <f t="shared" si="4"/>
        <v>1.2441094871772171</v>
      </c>
    </row>
    <row r="34" spans="1:9" x14ac:dyDescent="0.25">
      <c r="A34" s="3" t="s">
        <v>104</v>
      </c>
      <c r="B34" s="4">
        <f>B29</f>
        <v>0.99999600934802679</v>
      </c>
      <c r="C34" s="4">
        <f t="shared" si="3"/>
        <v>1.0000039906678986</v>
      </c>
      <c r="G34" s="3">
        <v>60</v>
      </c>
      <c r="H34" s="4">
        <v>1.1549821882236353</v>
      </c>
      <c r="I34" s="4">
        <f t="shared" si="4"/>
        <v>0.86581421791274704</v>
      </c>
    </row>
    <row r="35" spans="1:9" x14ac:dyDescent="0.25">
      <c r="A35" s="3" t="s">
        <v>105</v>
      </c>
      <c r="B35" s="4">
        <f>B29</f>
        <v>0.99999600934802679</v>
      </c>
      <c r="C35" s="4">
        <f>1/B35</f>
        <v>1.0000039906678986</v>
      </c>
      <c r="G35" s="3">
        <v>70</v>
      </c>
      <c r="H35" s="4">
        <v>0.97367357624423745</v>
      </c>
      <c r="I35" s="4">
        <f t="shared" si="4"/>
        <v>1.0270382440255921</v>
      </c>
    </row>
    <row r="36" spans="1:9" x14ac:dyDescent="0.25">
      <c r="C36" s="4"/>
      <c r="G36" s="3">
        <v>80</v>
      </c>
      <c r="H36" s="4">
        <v>1.3156846343485902</v>
      </c>
      <c r="I36" s="4">
        <f t="shared" si="4"/>
        <v>0.76006056002554967</v>
      </c>
    </row>
    <row r="37" spans="1:9" x14ac:dyDescent="0.25">
      <c r="C37" s="4"/>
      <c r="G37" s="3">
        <v>90</v>
      </c>
      <c r="H37" s="4">
        <v>1.0500384246402381</v>
      </c>
      <c r="I37" s="4">
        <f t="shared" si="4"/>
        <v>0.95234610137492615</v>
      </c>
    </row>
    <row r="38" spans="1:9" x14ac:dyDescent="0.25">
      <c r="A38" s="3" t="s">
        <v>108</v>
      </c>
      <c r="B38" s="4"/>
      <c r="C38" s="4">
        <v>0</v>
      </c>
      <c r="G38" s="3">
        <v>100</v>
      </c>
      <c r="H38" s="4">
        <v>1.1370851306075991</v>
      </c>
      <c r="I38" s="4">
        <f t="shared" si="4"/>
        <v>0.879441629375324</v>
      </c>
    </row>
    <row r="39" spans="1:9" x14ac:dyDescent="0.25">
      <c r="A39" t="s">
        <v>109</v>
      </c>
      <c r="B39" s="4">
        <f>B44</f>
        <v>1.6804531094915967</v>
      </c>
      <c r="C39" s="4">
        <f>1/B39</f>
        <v>0.59507759803100935</v>
      </c>
      <c r="G39" s="3">
        <v>110</v>
      </c>
      <c r="H39" s="4">
        <f>H38</f>
        <v>1.1370851306075991</v>
      </c>
      <c r="I39" s="4">
        <f t="shared" si="4"/>
        <v>0.879441629375324</v>
      </c>
    </row>
    <row r="40" spans="1:9" x14ac:dyDescent="0.25">
      <c r="A40" s="3" t="s">
        <v>77</v>
      </c>
      <c r="B40" s="4">
        <v>1.0834860816887726</v>
      </c>
      <c r="C40" s="4">
        <f t="shared" ref="C40:C45" si="5">1/B40</f>
        <v>0.92294678898076177</v>
      </c>
      <c r="G40" s="3">
        <v>120</v>
      </c>
      <c r="H40" s="4">
        <f>H38</f>
        <v>1.1370851306075991</v>
      </c>
      <c r="I40" s="4">
        <f t="shared" si="4"/>
        <v>0.879441629375324</v>
      </c>
    </row>
    <row r="41" spans="1:9" x14ac:dyDescent="0.25">
      <c r="A41" s="3" t="s">
        <v>58</v>
      </c>
      <c r="B41" s="4">
        <v>1.0087249316696307</v>
      </c>
      <c r="C41" s="4">
        <f t="shared" si="5"/>
        <v>0.99135053432734199</v>
      </c>
      <c r="G41" s="3">
        <v>130</v>
      </c>
      <c r="H41" s="4">
        <f>H38</f>
        <v>1.1370851306075991</v>
      </c>
      <c r="I41" s="4">
        <f t="shared" si="4"/>
        <v>0.879441629375324</v>
      </c>
    </row>
    <row r="42" spans="1:9" x14ac:dyDescent="0.25">
      <c r="A42" s="3" t="s">
        <v>79</v>
      </c>
      <c r="B42" s="4">
        <v>1.1720181995878101</v>
      </c>
      <c r="C42" s="4">
        <f t="shared" si="5"/>
        <v>0.85322907131620684</v>
      </c>
      <c r="G42" s="3">
        <v>140</v>
      </c>
      <c r="H42" s="4">
        <f>H38</f>
        <v>1.1370851306075991</v>
      </c>
      <c r="I42" s="4">
        <f t="shared" si="4"/>
        <v>0.879441629375324</v>
      </c>
    </row>
    <row r="43" spans="1:9" x14ac:dyDescent="0.25">
      <c r="A43" s="3" t="s">
        <v>72</v>
      </c>
      <c r="B43" s="4">
        <v>1.0135965549636492</v>
      </c>
      <c r="C43" s="4">
        <f t="shared" si="5"/>
        <v>0.98658583151544277</v>
      </c>
    </row>
    <row r="44" spans="1:9" x14ac:dyDescent="0.25">
      <c r="A44" s="3" t="s">
        <v>82</v>
      </c>
      <c r="B44" s="4">
        <v>1.6804531094915967</v>
      </c>
      <c r="C44" s="4">
        <f t="shared" si="5"/>
        <v>0.59507759803100935</v>
      </c>
    </row>
    <row r="45" spans="1:9" ht="15.75" x14ac:dyDescent="0.25">
      <c r="A45" s="3" t="s">
        <v>70</v>
      </c>
      <c r="B45" s="4">
        <v>1.0051847902435032</v>
      </c>
      <c r="C45" s="4">
        <f t="shared" si="5"/>
        <v>0.99484195314749324</v>
      </c>
      <c r="G45" s="6" t="s">
        <v>149</v>
      </c>
      <c r="H45" s="6"/>
      <c r="I45" s="6">
        <v>0.95</v>
      </c>
    </row>
    <row r="48" spans="1:9" x14ac:dyDescent="0.25">
      <c r="A48" s="3">
        <v>500</v>
      </c>
      <c r="B48" s="4">
        <f>B49</f>
        <v>1.2304299364893718</v>
      </c>
      <c r="C48" s="4">
        <f t="shared" ref="C48" si="6">1/B48</f>
        <v>0.81272404900450645</v>
      </c>
    </row>
    <row r="49" spans="1:3" x14ac:dyDescent="0.25">
      <c r="A49" s="3">
        <v>1000</v>
      </c>
      <c r="B49" s="4">
        <v>1.2304299364893718</v>
      </c>
      <c r="C49" s="4">
        <f>1/B49</f>
        <v>0.81272404900450645</v>
      </c>
    </row>
    <row r="50" spans="1:3" x14ac:dyDescent="0.25">
      <c r="A50" s="3">
        <v>1500</v>
      </c>
      <c r="B50" s="4">
        <v>1.0208195456200131</v>
      </c>
      <c r="C50" s="4">
        <f t="shared" ref="C50:C57" si="7">1/B50</f>
        <v>0.97960506760539345</v>
      </c>
    </row>
    <row r="51" spans="1:3" x14ac:dyDescent="0.25">
      <c r="A51" s="3">
        <v>2000</v>
      </c>
      <c r="B51" s="4">
        <v>1.0218578662315498</v>
      </c>
      <c r="C51" s="4">
        <f t="shared" si="7"/>
        <v>0.97860968051050168</v>
      </c>
    </row>
    <row r="52" spans="1:3" x14ac:dyDescent="0.25">
      <c r="A52" s="3">
        <v>2500</v>
      </c>
      <c r="B52" s="4">
        <v>0.99999600934802679</v>
      </c>
      <c r="C52" s="4">
        <f t="shared" si="7"/>
        <v>1.0000039906678986</v>
      </c>
    </row>
    <row r="53" spans="1:3" x14ac:dyDescent="0.25">
      <c r="A53" s="3">
        <v>3000</v>
      </c>
      <c r="B53" s="4">
        <v>1.0000424601120621</v>
      </c>
      <c r="C53" s="4">
        <f t="shared" si="7"/>
        <v>0.99995754169072248</v>
      </c>
    </row>
    <row r="54" spans="1:3" x14ac:dyDescent="0.25">
      <c r="A54" s="3">
        <v>3500</v>
      </c>
      <c r="B54" s="4">
        <f>B53</f>
        <v>1.0000424601120621</v>
      </c>
      <c r="C54" s="4">
        <f t="shared" si="7"/>
        <v>0.99995754169072248</v>
      </c>
    </row>
    <row r="55" spans="1:3" x14ac:dyDescent="0.25">
      <c r="A55" s="3">
        <v>4000</v>
      </c>
      <c r="B55" s="4">
        <f>B53</f>
        <v>1.0000424601120621</v>
      </c>
      <c r="C55" s="4">
        <f t="shared" si="7"/>
        <v>0.99995754169072248</v>
      </c>
    </row>
    <row r="56" spans="1:3" x14ac:dyDescent="0.25">
      <c r="A56" s="3">
        <v>4500</v>
      </c>
      <c r="B56" s="4">
        <f>B53</f>
        <v>1.0000424601120621</v>
      </c>
      <c r="C56" s="4">
        <f t="shared" si="7"/>
        <v>0.99995754169072248</v>
      </c>
    </row>
    <row r="57" spans="1:3" x14ac:dyDescent="0.25">
      <c r="A57" s="3">
        <v>5000</v>
      </c>
      <c r="B57" s="4">
        <f>B53</f>
        <v>1.0000424601120621</v>
      </c>
      <c r="C57" s="4">
        <f t="shared" si="7"/>
        <v>0.99995754169072248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0CE2-A1B9-4AA2-8CD7-BA11343FC245}">
  <dimension ref="A1:F25"/>
  <sheetViews>
    <sheetView workbookViewId="0">
      <selection activeCell="F2" sqref="F2:F7"/>
    </sheetView>
  </sheetViews>
  <sheetFormatPr defaultRowHeight="15" x14ac:dyDescent="0.25"/>
  <cols>
    <col min="1" max="1" width="13.140625" bestFit="1" customWidth="1"/>
    <col min="2" max="2" width="25.140625" bestFit="1" customWidth="1"/>
    <col min="5" max="5" width="13.140625" bestFit="1" customWidth="1"/>
    <col min="6" max="6" width="25.140625" bestFit="1" customWidth="1"/>
  </cols>
  <sheetData>
    <row r="1" spans="1:6" x14ac:dyDescent="0.25">
      <c r="A1" s="2" t="s">
        <v>123</v>
      </c>
      <c r="B1" t="s">
        <v>125</v>
      </c>
      <c r="E1" s="2" t="s">
        <v>123</v>
      </c>
      <c r="F1" t="s">
        <v>125</v>
      </c>
    </row>
    <row r="2" spans="1:6" x14ac:dyDescent="0.25">
      <c r="A2" s="3" t="s">
        <v>64</v>
      </c>
      <c r="B2">
        <v>1.0095913566370442</v>
      </c>
      <c r="E2" s="3" t="s">
        <v>77</v>
      </c>
      <c r="F2">
        <v>1.0834860816887726</v>
      </c>
    </row>
    <row r="3" spans="1:6" x14ac:dyDescent="0.25">
      <c r="A3" s="3" t="s">
        <v>57</v>
      </c>
      <c r="B3">
        <v>1.0122296666163964</v>
      </c>
      <c r="E3" s="3" t="s">
        <v>58</v>
      </c>
      <c r="F3">
        <v>1.0087249316696307</v>
      </c>
    </row>
    <row r="4" spans="1:6" x14ac:dyDescent="0.25">
      <c r="A4" s="3" t="s">
        <v>65</v>
      </c>
      <c r="B4">
        <v>0.99999600934802679</v>
      </c>
      <c r="E4" s="3" t="s">
        <v>79</v>
      </c>
      <c r="F4">
        <v>1.1720181995878101</v>
      </c>
    </row>
    <row r="5" spans="1:6" x14ac:dyDescent="0.25">
      <c r="A5" s="3" t="s">
        <v>78</v>
      </c>
      <c r="B5">
        <v>1.2870778898057638</v>
      </c>
      <c r="E5" s="3" t="s">
        <v>72</v>
      </c>
      <c r="F5">
        <v>1.0135965549636492</v>
      </c>
    </row>
    <row r="6" spans="1:6" x14ac:dyDescent="0.25">
      <c r="A6" s="3" t="s">
        <v>71</v>
      </c>
      <c r="B6">
        <v>1.0177205927093105</v>
      </c>
      <c r="E6" s="3" t="s">
        <v>82</v>
      </c>
      <c r="F6">
        <v>1.6804531094915967</v>
      </c>
    </row>
    <row r="7" spans="1:6" x14ac:dyDescent="0.25">
      <c r="A7" s="3" t="s">
        <v>61</v>
      </c>
      <c r="B7">
        <v>1.0079702230554393</v>
      </c>
      <c r="E7" s="3" t="s">
        <v>70</v>
      </c>
      <c r="F7">
        <v>1.0051847902435032</v>
      </c>
    </row>
    <row r="8" spans="1:6" x14ac:dyDescent="0.25">
      <c r="A8" s="3" t="s">
        <v>74</v>
      </c>
      <c r="B8">
        <v>1.0000424601120621</v>
      </c>
      <c r="E8" s="3" t="s">
        <v>124</v>
      </c>
      <c r="F8">
        <v>1.0369671654398072</v>
      </c>
    </row>
    <row r="9" spans="1:6" x14ac:dyDescent="0.25">
      <c r="A9" s="3" t="s">
        <v>124</v>
      </c>
      <c r="B9">
        <v>1.0369671654398067</v>
      </c>
    </row>
    <row r="13" spans="1:6" x14ac:dyDescent="0.25">
      <c r="A13" s="2" t="s">
        <v>123</v>
      </c>
      <c r="B13" t="s">
        <v>125</v>
      </c>
      <c r="E13" s="2" t="s">
        <v>123</v>
      </c>
      <c r="F13" t="s">
        <v>125</v>
      </c>
    </row>
    <row r="14" spans="1:6" x14ac:dyDescent="0.25">
      <c r="A14" s="3">
        <v>1000</v>
      </c>
      <c r="B14">
        <v>1.2304299364893718</v>
      </c>
      <c r="E14" s="3">
        <v>0</v>
      </c>
      <c r="F14">
        <v>1.0004899733552703</v>
      </c>
    </row>
    <row r="15" spans="1:6" x14ac:dyDescent="0.25">
      <c r="A15" s="3">
        <v>1500</v>
      </c>
      <c r="B15">
        <v>1.0208195456200131</v>
      </c>
      <c r="E15" s="3">
        <v>10</v>
      </c>
      <c r="F15">
        <v>1.0467657007881168</v>
      </c>
    </row>
    <row r="16" spans="1:6" x14ac:dyDescent="0.25">
      <c r="A16" s="3">
        <v>2000</v>
      </c>
      <c r="B16">
        <v>1.0218578662315498</v>
      </c>
      <c r="E16" s="3">
        <v>20</v>
      </c>
      <c r="F16">
        <v>0.9843332476105523</v>
      </c>
    </row>
    <row r="17" spans="1:6" x14ac:dyDescent="0.25">
      <c r="A17" s="3">
        <v>2500</v>
      </c>
      <c r="B17">
        <v>0.99999600934802679</v>
      </c>
      <c r="E17" s="3">
        <v>30</v>
      </c>
      <c r="F17">
        <v>0.94881425615750659</v>
      </c>
    </row>
    <row r="18" spans="1:6" x14ac:dyDescent="0.25">
      <c r="A18" s="3">
        <v>3000</v>
      </c>
      <c r="B18">
        <v>1.0000424601120621</v>
      </c>
      <c r="E18" s="3">
        <v>40</v>
      </c>
      <c r="F18">
        <v>1.0190811786140483</v>
      </c>
    </row>
    <row r="19" spans="1:6" x14ac:dyDescent="0.25">
      <c r="A19" s="3" t="s">
        <v>124</v>
      </c>
      <c r="B19">
        <v>1.0369671654398067</v>
      </c>
      <c r="E19" s="3">
        <v>50</v>
      </c>
      <c r="F19">
        <v>0.80378777776939747</v>
      </c>
    </row>
    <row r="20" spans="1:6" x14ac:dyDescent="0.25">
      <c r="E20" s="3">
        <v>60</v>
      </c>
      <c r="F20">
        <v>1.1549821882236353</v>
      </c>
    </row>
    <row r="21" spans="1:6" x14ac:dyDescent="0.25">
      <c r="E21" s="3">
        <v>70</v>
      </c>
      <c r="F21">
        <v>0.97367357624423745</v>
      </c>
    </row>
    <row r="22" spans="1:6" x14ac:dyDescent="0.25">
      <c r="E22" s="3">
        <v>80</v>
      </c>
      <c r="F22">
        <v>1.3156846343485902</v>
      </c>
    </row>
    <row r="23" spans="1:6" x14ac:dyDescent="0.25">
      <c r="E23" s="3">
        <v>90</v>
      </c>
      <c r="F23">
        <v>1.0500384246402381</v>
      </c>
    </row>
    <row r="24" spans="1:6" x14ac:dyDescent="0.25">
      <c r="E24" s="3">
        <v>100</v>
      </c>
      <c r="F24">
        <v>1.1370851306075991</v>
      </c>
    </row>
    <row r="25" spans="1:6" x14ac:dyDescent="0.25">
      <c r="E25" s="3" t="s">
        <v>124</v>
      </c>
      <c r="F25">
        <v>1.0369671654398072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88AB-6E82-46DD-A1C6-0132F365B917}">
  <dimension ref="A1:CF732"/>
  <sheetViews>
    <sheetView topLeftCell="BD698" workbookViewId="0">
      <selection activeCell="CE732" sqref="CE2:CE732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7.28515625" bestFit="1" customWidth="1"/>
    <col min="13" max="13" width="11.7109375" bestFit="1" customWidth="1"/>
    <col min="14" max="14" width="11.140625" bestFit="1" customWidth="1"/>
    <col min="15" max="15" width="11.140625" customWidth="1"/>
    <col min="16" max="16" width="11" bestFit="1" customWidth="1"/>
    <col min="17" max="17" width="12.7109375" bestFit="1" customWidth="1"/>
    <col min="18" max="18" width="10.140625" bestFit="1" customWidth="1"/>
    <col min="19" max="19" width="12" bestFit="1" customWidth="1"/>
    <col min="20" max="20" width="7.140625" bestFit="1" customWidth="1"/>
    <col min="21" max="21" width="9.42578125" bestFit="1" customWidth="1"/>
    <col min="22" max="22" width="12" bestFit="1" customWidth="1"/>
    <col min="23" max="23" width="14.42578125" bestFit="1" customWidth="1"/>
    <col min="24" max="24" width="7.85546875" bestFit="1" customWidth="1"/>
    <col min="25" max="25" width="4.42578125" bestFit="1" customWidth="1"/>
    <col min="26" max="26" width="7.42578125" bestFit="1" customWidth="1"/>
    <col min="27" max="27" width="16.85546875" bestFit="1" customWidth="1"/>
    <col min="28" max="28" width="10.7109375" bestFit="1" customWidth="1"/>
    <col min="29" max="29" width="10.5703125" bestFit="1" customWidth="1"/>
    <col min="30" max="30" width="11.5703125" bestFit="1" customWidth="1"/>
    <col min="31" max="31" width="9.140625" bestFit="1" customWidth="1"/>
    <col min="32" max="32" width="9.140625" customWidth="1"/>
    <col min="33" max="33" width="11.7109375" bestFit="1" customWidth="1"/>
    <col min="34" max="34" width="11.28515625" bestFit="1" customWidth="1"/>
    <col min="35" max="35" width="11.28515625" customWidth="1"/>
    <col min="36" max="36" width="7.5703125" bestFit="1" customWidth="1"/>
    <col min="37" max="37" width="11.140625" bestFit="1" customWidth="1"/>
    <col min="38" max="38" width="5.5703125" bestFit="1" customWidth="1"/>
    <col min="39" max="39" width="17.28515625" bestFit="1" customWidth="1"/>
    <col min="40" max="41" width="17.28515625" customWidth="1"/>
    <col min="42" max="42" width="5.85546875" bestFit="1" customWidth="1"/>
    <col min="43" max="43" width="8.85546875" bestFit="1" customWidth="1"/>
    <col min="44" max="59" width="10.5703125" customWidth="1"/>
    <col min="60" max="69" width="10.5703125" style="8" customWidth="1"/>
    <col min="70" max="75" width="10.5703125" customWidth="1"/>
    <col min="76" max="77" width="10.5703125" style="8" customWidth="1"/>
    <col min="78" max="81" width="10.5703125" customWidth="1"/>
    <col min="82" max="82" width="10.140625" bestFit="1" customWidth="1"/>
    <col min="84" max="85" width="9.7109375" bestFit="1" customWidth="1"/>
  </cols>
  <sheetData>
    <row r="1" spans="1:8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153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154</v>
      </c>
      <c r="AG1" t="s">
        <v>30</v>
      </c>
      <c r="AH1" t="s">
        <v>31</v>
      </c>
      <c r="AI1" t="s">
        <v>155</v>
      </c>
      <c r="AJ1" t="s">
        <v>156</v>
      </c>
      <c r="AK1" t="s">
        <v>33</v>
      </c>
      <c r="AL1" t="s">
        <v>34</v>
      </c>
      <c r="AM1" t="s">
        <v>35</v>
      </c>
      <c r="AN1" t="s">
        <v>157</v>
      </c>
      <c r="AO1" t="s">
        <v>158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159</v>
      </c>
      <c r="BB1" t="s">
        <v>160</v>
      </c>
      <c r="BC1" t="s">
        <v>161</v>
      </c>
      <c r="BD1" t="s">
        <v>47</v>
      </c>
      <c r="BE1" t="s">
        <v>162</v>
      </c>
      <c r="BF1" t="s">
        <v>168</v>
      </c>
      <c r="BG1" t="s">
        <v>169</v>
      </c>
      <c r="BH1" s="8" t="s">
        <v>170</v>
      </c>
      <c r="BI1" s="8" t="s">
        <v>89</v>
      </c>
      <c r="BJ1" s="8" t="s">
        <v>121</v>
      </c>
      <c r="BK1" s="8" t="s">
        <v>122</v>
      </c>
      <c r="BL1" s="8" t="s">
        <v>111</v>
      </c>
      <c r="BM1" s="8" t="s">
        <v>112</v>
      </c>
      <c r="BN1" s="8" t="s">
        <v>113</v>
      </c>
      <c r="BO1" s="8" t="s">
        <v>114</v>
      </c>
      <c r="BP1" s="8" t="s">
        <v>163</v>
      </c>
      <c r="BQ1" s="8" t="s">
        <v>166</v>
      </c>
      <c r="BR1" t="s">
        <v>126</v>
      </c>
      <c r="BS1" t="s">
        <v>127</v>
      </c>
      <c r="BT1" t="s">
        <v>128</v>
      </c>
      <c r="BU1" t="s">
        <v>129</v>
      </c>
      <c r="BV1" t="s">
        <v>167</v>
      </c>
      <c r="BW1" s="8" t="s">
        <v>165</v>
      </c>
      <c r="BX1" s="8" t="s">
        <v>164</v>
      </c>
      <c r="BY1" t="s">
        <v>130</v>
      </c>
      <c r="BZ1" t="s">
        <v>132</v>
      </c>
      <c r="CA1" t="s">
        <v>131</v>
      </c>
      <c r="CB1" t="s">
        <v>150</v>
      </c>
      <c r="CC1" t="s">
        <v>133</v>
      </c>
      <c r="CE1">
        <v>402</v>
      </c>
      <c r="CF1" s="1">
        <v>45179</v>
      </c>
    </row>
    <row r="2" spans="1:84" x14ac:dyDescent="0.25">
      <c r="A2">
        <v>21101531001</v>
      </c>
      <c r="B2">
        <v>5.07</v>
      </c>
      <c r="C2">
        <v>221014</v>
      </c>
      <c r="D2" t="s">
        <v>137</v>
      </c>
      <c r="E2" t="s">
        <v>54</v>
      </c>
      <c r="F2" t="s">
        <v>54</v>
      </c>
      <c r="G2">
        <v>3</v>
      </c>
      <c r="H2" t="s">
        <v>55</v>
      </c>
      <c r="I2">
        <v>168300</v>
      </c>
      <c r="J2">
        <v>47200</v>
      </c>
      <c r="K2">
        <v>5.07</v>
      </c>
      <c r="L2">
        <f>IF(Granger_Inventory[[#This Row],[parcel_acres]]-Granger_Inventory[[#This Row],[non_valued_acres]] =0,0,LN(Granger_Inventory[[#This Row],[parcel_acres]]-Granger_Inventory[[#This Row],[non_valued_acres]]))</f>
        <v>1.6233408176030919</v>
      </c>
      <c r="M2">
        <v>0</v>
      </c>
      <c r="N2">
        <v>0</v>
      </c>
      <c r="O2">
        <v>0</v>
      </c>
      <c r="P2">
        <v>47108.068500000001</v>
      </c>
      <c r="Q2">
        <v>122298</v>
      </c>
      <c r="R2">
        <f>(Granger_Inventory[[#This Row],[ln_acres]]*Granger_Inventory[[#This Row],[coeff]])+Granger_Inventory[[#This Row],[const]]</f>
        <v>198770.45043449246</v>
      </c>
      <c r="S2" t="s">
        <v>69</v>
      </c>
      <c r="T2">
        <v>1</v>
      </c>
      <c r="U2" t="s">
        <v>71</v>
      </c>
      <c r="V2" t="s">
        <v>77</v>
      </c>
      <c r="W2">
        <v>0</v>
      </c>
      <c r="X2">
        <v>0</v>
      </c>
      <c r="Y2">
        <v>64</v>
      </c>
      <c r="Z2">
        <v>112</v>
      </c>
      <c r="AA2">
        <v>120</v>
      </c>
      <c r="AB2">
        <v>2000</v>
      </c>
      <c r="AC2">
        <v>1648</v>
      </c>
      <c r="AD2">
        <v>1368</v>
      </c>
      <c r="AE2">
        <v>0</v>
      </c>
      <c r="AF2">
        <v>0</v>
      </c>
      <c r="AG2">
        <v>280</v>
      </c>
      <c r="AH2">
        <v>0</v>
      </c>
      <c r="AI2">
        <v>0</v>
      </c>
      <c r="AJ2">
        <v>0</v>
      </c>
      <c r="AK2">
        <v>0</v>
      </c>
      <c r="AL2">
        <v>0</v>
      </c>
      <c r="AM2">
        <v>64</v>
      </c>
      <c r="AN2">
        <v>0</v>
      </c>
      <c r="AO2">
        <v>64</v>
      </c>
      <c r="AP2">
        <v>5</v>
      </c>
      <c r="AQ2">
        <v>0</v>
      </c>
      <c r="AR2">
        <v>0</v>
      </c>
      <c r="AS2" t="s">
        <v>59</v>
      </c>
      <c r="AT2">
        <v>1</v>
      </c>
      <c r="AU2" t="s">
        <v>60</v>
      </c>
      <c r="AV2" t="s">
        <v>61</v>
      </c>
      <c r="AW2">
        <v>0</v>
      </c>
      <c r="AX2">
        <v>3</v>
      </c>
      <c r="AY2">
        <v>9300</v>
      </c>
      <c r="AZ2">
        <v>15400</v>
      </c>
      <c r="BA2">
        <v>100</v>
      </c>
      <c r="BB2">
        <v>100</v>
      </c>
      <c r="BC2">
        <v>100</v>
      </c>
      <c r="BD2">
        <v>100</v>
      </c>
      <c r="BE2">
        <v>1</v>
      </c>
      <c r="BF2">
        <v>15000</v>
      </c>
      <c r="BG2">
        <v>1000</v>
      </c>
      <c r="BH2" s="8">
        <f>Granger_Inventory[[#This Row],[land_extract]]*Lookups!$B$3</f>
        <v>118413.67945370055</v>
      </c>
      <c r="BI2" s="8">
        <f>IF(Granger_Inventory[[#This Row],[bldg_style]]="",0,Lookups!$B$2)</f>
        <v>29703.559000000001</v>
      </c>
      <c r="BJ2" s="8">
        <f>_xlfn.IFNA(VLOOKUP(Granger_Inventory[[#This Row],[quality]],Lookups!$H$2:$J$14,3,FALSE),0)</f>
        <v>34195</v>
      </c>
      <c r="BK2" s="8">
        <f>_xlfn.IFNA(VLOOKUP(Granger_Inventory[[#This Row],[condition]],Lookups!$H$17:$J$24,3,FALSE),0)</f>
        <v>33736</v>
      </c>
      <c r="BL2" s="8">
        <f>Granger_Inventory[[#This Row],[Age]]*Lookups!$B$16</f>
        <v>-23221.083200000001</v>
      </c>
      <c r="BM2" s="8">
        <f>Granger_Inventory[[#This Row],[living_area]]*Lookups!$B$17</f>
        <v>110865.754032</v>
      </c>
      <c r="BN2" s="8">
        <f>(Granger_Inventory[[#This Row],[att_gar]]+Granger_Inventory[[#This Row],[blt_gar]])*Lookups!$B$18</f>
        <v>0</v>
      </c>
      <c r="BO2" s="8">
        <f>Granger_Inventory[[#This Row],[Patio]]*Lookups!$B$19</f>
        <v>3476.1661439999998</v>
      </c>
      <c r="BP2" s="8">
        <f>SUM(Granger_Inventory[[#This Row],[Intercept]:[Patio_Value]])*Granger_Inventory[[#This Row],[res_pct]]</f>
        <v>188755.395976</v>
      </c>
      <c r="BQ2" s="8">
        <f>Granger_Inventory[[#This Row],[land_value]]</f>
        <v>118413.67945370055</v>
      </c>
      <c r="BR2" s="4">
        <f>_xlfn.IFNA(VLOOKUP(Granger_Inventory[[#This Row],[quality]],Lookups!$A$25:$C$35,3,FALSE),1)</f>
        <v>0.98258795897788032</v>
      </c>
      <c r="BS2" s="4">
        <f>_xlfn.IFNA(VLOOKUP(Granger_Inventory[[#This Row],[condition]],Lookups!$A$38:$C$45,3,FALSE),1)</f>
        <v>0.92294678898076177</v>
      </c>
      <c r="BT2" s="4">
        <f>IF(Granger_Inventory[[#This Row],[decade]]="",1,_xlfn.IFNA(VLOOKUP(Granger_Inventory[[#This Row],[decade]],Lookups!$G$28:$I$42,3,FALSE),1))</f>
        <v>0.879441629375324</v>
      </c>
      <c r="BU2" s="4">
        <f>_xlfn.IFNA(VLOOKUP(Granger_Inventory[[#This Row],[living_area_range]],Lookups!$A$48:$C$57,3,FALSE),1)</f>
        <v>0.97860968051050168</v>
      </c>
      <c r="BV2" s="4">
        <f>AVERAGE(Granger_Inventory[[#This Row],[qual_adj]:[living_range_adj]])</f>
        <v>0.940896514461117</v>
      </c>
      <c r="BW2" s="8">
        <f>(Granger_Inventory[[#This Row],[sum_land]]-IF(Granger_Inventory[[#This Row],[no_utilities]]=1,12000,0))/IF(Granger_Inventory[[#This Row],[unbuildable]]=1,2,1)</f>
        <v>118413.67945370055</v>
      </c>
      <c r="BX2" s="8">
        <f>Granger_Inventory[[#This Row],[pre_res]]*Granger_Inventory[[#This Row],[overall_adj]]</f>
        <v>177599.29415954635</v>
      </c>
      <c r="BY2">
        <f>IF(ROUND(Granger_Inventory[[#This Row],[adj_land]]*Lookups!$I$45,-2)&lt;Granger_Inventory[[#This Row],[min_land]],Granger_Inventory[[#This Row],[min_land]],ROUND(Granger_Inventory[[#This Row],[adj_land]]*Lookups!$I$45,-2))</f>
        <v>112500</v>
      </c>
      <c r="BZ2">
        <f>ROUND(Granger_Inventory[[#This Row],[detatched_value]]*Lookups!$I$45,-2)</f>
        <v>14600</v>
      </c>
      <c r="CA2">
        <f>IF(ROUND(Granger_Inventory[[#This Row],[adj_res]]*Lookups!$I$45,-2)&lt;Granger_Inventory[[#This Row],[min_res]],Granger_Inventory[[#This Row],[min_res]],ROUND(Granger_Inventory[[#This Row],[adj_res]]*Lookups!$I$45,-2))</f>
        <v>168700</v>
      </c>
      <c r="CB2">
        <f>Granger_Inventory[[#This Row],[final_det]]+Granger_Inventory[[#This Row],[final_res]]</f>
        <v>183300</v>
      </c>
      <c r="CC2">
        <f>Granger_Inventory[[#This Row],[final_land]]+Granger_Inventory[[#This Row],[final_imp]]+Granger_Inventory[[#This Row],[crop_value]]</f>
        <v>305100</v>
      </c>
      <c r="CE2" t="str">
        <f>"update valuation set market_land ="&amp;BY2&amp;", market_bldg="&amp;CB2&amp;", market_total ="&amp;CC2&amp;", market_mdno ="&amp;$CE$1&amp;", market_date ='"&amp;TEXT($CF$1,"m/d/yyyy")&amp;"' where link_id = (select link_id from parcel where parcel_year = '2024' and parcel_id = '"&amp;A2&amp;"');"</f>
        <v>update valuation set market_land =112500, market_bldg=183300, market_total =305100, market_mdno =402, market_date ='9/10/2023' where link_id = (select link_id from parcel where parcel_year = '2024' and parcel_id = '21101531001');</v>
      </c>
    </row>
    <row r="3" spans="1:84" x14ac:dyDescent="0.25">
      <c r="A3">
        <v>21101531005</v>
      </c>
      <c r="B3">
        <v>2.0099999999999998</v>
      </c>
      <c r="C3">
        <v>87704</v>
      </c>
      <c r="D3" t="s">
        <v>137</v>
      </c>
      <c r="E3" t="s">
        <v>54</v>
      </c>
      <c r="F3" t="s">
        <v>54</v>
      </c>
      <c r="G3">
        <v>3</v>
      </c>
      <c r="H3" t="s">
        <v>55</v>
      </c>
      <c r="I3">
        <v>123000</v>
      </c>
      <c r="J3">
        <v>41700</v>
      </c>
      <c r="K3">
        <v>2.0099999999999998</v>
      </c>
      <c r="L3">
        <f>IF(Granger_Inventory[[#This Row],[parcel_acres]]-Granger_Inventory[[#This Row],[non_valued_acres]] =0,0,LN(Granger_Inventory[[#This Row],[parcel_acres]]-Granger_Inventory[[#This Row],[non_valued_acres]]))</f>
        <v>0.69813472207098426</v>
      </c>
      <c r="M3">
        <v>0</v>
      </c>
      <c r="N3">
        <v>0</v>
      </c>
      <c r="O3">
        <v>0</v>
      </c>
      <c r="P3">
        <v>47108.068500000001</v>
      </c>
      <c r="Q3">
        <v>122298</v>
      </c>
      <c r="R3">
        <f>(Granger_Inventory[[#This Row],[ln_acres]]*Granger_Inventory[[#This Row],[coeff]])+Granger_Inventory[[#This Row],[const]]</f>
        <v>155185.77830954839</v>
      </c>
      <c r="S3" t="s">
        <v>62</v>
      </c>
      <c r="T3">
        <v>2</v>
      </c>
      <c r="U3" t="s">
        <v>71</v>
      </c>
      <c r="V3" t="s">
        <v>79</v>
      </c>
      <c r="W3">
        <v>0</v>
      </c>
      <c r="X3">
        <v>0</v>
      </c>
      <c r="Y3">
        <v>62</v>
      </c>
      <c r="Z3">
        <v>102</v>
      </c>
      <c r="AA3">
        <v>110</v>
      </c>
      <c r="AB3">
        <v>1500</v>
      </c>
      <c r="AC3">
        <v>1332</v>
      </c>
      <c r="AD3">
        <v>656</v>
      </c>
      <c r="AE3">
        <v>312</v>
      </c>
      <c r="AF3">
        <v>0</v>
      </c>
      <c r="AG3">
        <v>364</v>
      </c>
      <c r="AH3">
        <v>0</v>
      </c>
      <c r="AI3">
        <v>0</v>
      </c>
      <c r="AJ3">
        <v>0</v>
      </c>
      <c r="AK3">
        <v>0</v>
      </c>
      <c r="AL3">
        <v>72</v>
      </c>
      <c r="AM3">
        <v>208</v>
      </c>
      <c r="AN3">
        <v>208</v>
      </c>
      <c r="AO3">
        <v>208</v>
      </c>
      <c r="AP3">
        <v>5</v>
      </c>
      <c r="AQ3">
        <v>0</v>
      </c>
      <c r="AR3">
        <v>0</v>
      </c>
      <c r="AS3" t="s">
        <v>81</v>
      </c>
      <c r="AT3">
        <v>1</v>
      </c>
      <c r="AU3" t="s">
        <v>60</v>
      </c>
      <c r="AV3" t="s">
        <v>65</v>
      </c>
      <c r="AW3">
        <v>1</v>
      </c>
      <c r="AX3">
        <v>3</v>
      </c>
      <c r="AY3">
        <v>0</v>
      </c>
      <c r="AZ3">
        <v>9100</v>
      </c>
      <c r="BA3">
        <v>100</v>
      </c>
      <c r="BB3">
        <v>100</v>
      </c>
      <c r="BC3">
        <v>100</v>
      </c>
      <c r="BD3">
        <v>100</v>
      </c>
      <c r="BE3">
        <v>1</v>
      </c>
      <c r="BF3">
        <v>15000</v>
      </c>
      <c r="BG3">
        <v>1000</v>
      </c>
      <c r="BH3" s="8">
        <f>Granger_Inventory[[#This Row],[land_extract]]*Lookups!$B$3</f>
        <v>92448.947860969914</v>
      </c>
      <c r="BI3" s="8">
        <f>IF(Granger_Inventory[[#This Row],[bldg_style]]="",0,Lookups!$B$2)</f>
        <v>29703.559000000001</v>
      </c>
      <c r="BJ3" s="8">
        <f>_xlfn.IFNA(VLOOKUP(Granger_Inventory[[#This Row],[quality]],Lookups!$H$2:$J$14,3,FALSE),0)</f>
        <v>34195</v>
      </c>
      <c r="BK3" s="8">
        <f>_xlfn.IFNA(VLOOKUP(Granger_Inventory[[#This Row],[condition]],Lookups!$H$17:$J$24,3,FALSE),0)</f>
        <v>86727</v>
      </c>
      <c r="BL3" s="8">
        <f>Granger_Inventory[[#This Row],[Age]]*Lookups!$B$16</f>
        <v>-21147.772199999999</v>
      </c>
      <c r="BM3" s="8">
        <f>Granger_Inventory[[#This Row],[living_area]]*Lookups!$B$17</f>
        <v>89607.514788</v>
      </c>
      <c r="BN3" s="8">
        <f>(Granger_Inventory[[#This Row],[att_gar]]+Granger_Inventory[[#This Row],[blt_gar]])*Lookups!$B$18</f>
        <v>0</v>
      </c>
      <c r="BO3" s="8">
        <f>Granger_Inventory[[#This Row],[Patio]]*Lookups!$B$19</f>
        <v>11297.539967999999</v>
      </c>
      <c r="BP3" s="8">
        <f>SUM(Granger_Inventory[[#This Row],[Intercept]:[Patio_Value]])*Granger_Inventory[[#This Row],[res_pct]]</f>
        <v>230382.841556</v>
      </c>
      <c r="BQ3" s="8">
        <f>Granger_Inventory[[#This Row],[land_value]]</f>
        <v>92448.947860969914</v>
      </c>
      <c r="BR3" s="4">
        <f>_xlfn.IFNA(VLOOKUP(Granger_Inventory[[#This Row],[quality]],Lookups!$A$25:$C$35,3,FALSE),1)</f>
        <v>0.98258795897788032</v>
      </c>
      <c r="BS3" s="4">
        <f>_xlfn.IFNA(VLOOKUP(Granger_Inventory[[#This Row],[condition]],Lookups!$A$38:$C$45,3,FALSE),1)</f>
        <v>0.85322907131620684</v>
      </c>
      <c r="BT3" s="4">
        <f>IF(Granger_Inventory[[#This Row],[decade]]="",1,_xlfn.IFNA(VLOOKUP(Granger_Inventory[[#This Row],[decade]],Lookups!$G$28:$I$42,3,FALSE),1))</f>
        <v>0.879441629375324</v>
      </c>
      <c r="BU3" s="4">
        <f>_xlfn.IFNA(VLOOKUP(Granger_Inventory[[#This Row],[living_area_range]],Lookups!$A$48:$C$57,3,FALSE),1)</f>
        <v>0.97960506760539345</v>
      </c>
      <c r="BV3" s="4">
        <f>AVERAGE(Granger_Inventory[[#This Row],[qual_adj]:[living_range_adj]])</f>
        <v>0.92371593181870115</v>
      </c>
      <c r="BW3" s="8">
        <f>(Granger_Inventory[[#This Row],[sum_land]]-IF(Granger_Inventory[[#This Row],[no_utilities]]=1,12000,0))/IF(Granger_Inventory[[#This Row],[unbuildable]]=1,2,1)</f>
        <v>92448.947860969914</v>
      </c>
      <c r="BX3" s="8">
        <f>Granger_Inventory[[#This Row],[pre_res]]*Granger_Inventory[[#This Row],[overall_adj]]</f>
        <v>212808.30116294071</v>
      </c>
      <c r="BY3">
        <f>IF(ROUND(Granger_Inventory[[#This Row],[adj_land]]*Lookups!$I$45,-2)&lt;Granger_Inventory[[#This Row],[min_land]],Granger_Inventory[[#This Row],[min_land]],ROUND(Granger_Inventory[[#This Row],[adj_land]]*Lookups!$I$45,-2))</f>
        <v>87800</v>
      </c>
      <c r="BZ3">
        <f>ROUND(Granger_Inventory[[#This Row],[detatched_value]]*Lookups!$I$45,-2)</f>
        <v>8600</v>
      </c>
      <c r="CA3">
        <f>IF(ROUND(Granger_Inventory[[#This Row],[adj_res]]*Lookups!$I$45,-2)&lt;Granger_Inventory[[#This Row],[min_res]],Granger_Inventory[[#This Row],[min_res]],ROUND(Granger_Inventory[[#This Row],[adj_res]]*Lookups!$I$45,-2))</f>
        <v>202200</v>
      </c>
      <c r="CB3">
        <f>Granger_Inventory[[#This Row],[final_det]]+Granger_Inventory[[#This Row],[final_res]]</f>
        <v>210800</v>
      </c>
      <c r="CC3">
        <f>Granger_Inventory[[#This Row],[final_land]]+Granger_Inventory[[#This Row],[final_imp]]+Granger_Inventory[[#This Row],[crop_value]]</f>
        <v>298600</v>
      </c>
      <c r="CE3" t="str">
        <f t="shared" ref="CE3:CE65" si="0">"update valuation set market_land ="&amp;BY3&amp;", market_bldg="&amp;CB3&amp;", market_total ="&amp;CC3&amp;", market_mdno ="&amp;$CE$1&amp;", market_date ='"&amp;TEXT($CF$1,"m/d/yyyy")&amp;"' where link_id = (select link_id from parcel where parcel_year = '2024' and parcel_id = '"&amp;A3&amp;"');"</f>
        <v>update valuation set market_land =87800, market_bldg=210800, market_total =298600, market_mdno =402, market_date ='9/10/2023' where link_id = (select link_id from parcel where parcel_year = '2024' and parcel_id = '21101531005');</v>
      </c>
    </row>
    <row r="4" spans="1:84" x14ac:dyDescent="0.25">
      <c r="A4">
        <v>21101531401</v>
      </c>
      <c r="B4">
        <v>0.15</v>
      </c>
      <c r="C4">
        <v>6507</v>
      </c>
      <c r="D4" t="s">
        <v>137</v>
      </c>
      <c r="E4" t="s">
        <v>54</v>
      </c>
      <c r="F4" t="s">
        <v>54</v>
      </c>
      <c r="G4">
        <v>3</v>
      </c>
      <c r="H4" t="s">
        <v>55</v>
      </c>
      <c r="I4">
        <v>85100</v>
      </c>
      <c r="J4">
        <v>26300</v>
      </c>
      <c r="K4">
        <v>0.15</v>
      </c>
      <c r="L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4">
        <v>0</v>
      </c>
      <c r="N4">
        <v>0</v>
      </c>
      <c r="O4">
        <v>0</v>
      </c>
      <c r="P4">
        <v>47108.068500000001</v>
      </c>
      <c r="Q4">
        <v>122298</v>
      </c>
      <c r="R4">
        <f>(Granger_Inventory[[#This Row],[ln_acres]]*Granger_Inventory[[#This Row],[coeff]])+Granger_Inventory[[#This Row],[const]]</f>
        <v>32928.341799276939</v>
      </c>
      <c r="S4" t="s">
        <v>62</v>
      </c>
      <c r="T4">
        <v>1</v>
      </c>
      <c r="U4" t="s">
        <v>71</v>
      </c>
      <c r="V4" t="s">
        <v>77</v>
      </c>
      <c r="W4">
        <v>0</v>
      </c>
      <c r="X4">
        <v>0</v>
      </c>
      <c r="Y4">
        <v>48</v>
      </c>
      <c r="Z4">
        <v>61</v>
      </c>
      <c r="AA4">
        <v>70</v>
      </c>
      <c r="AB4">
        <v>1000</v>
      </c>
      <c r="AC4">
        <v>944</v>
      </c>
      <c r="AD4">
        <v>944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80</v>
      </c>
      <c r="AO4">
        <v>0</v>
      </c>
      <c r="AP4">
        <v>5</v>
      </c>
      <c r="AQ4">
        <v>0</v>
      </c>
      <c r="AR4">
        <v>0</v>
      </c>
      <c r="AS4" t="s">
        <v>59</v>
      </c>
      <c r="AT4">
        <v>1</v>
      </c>
      <c r="AU4" t="s">
        <v>60</v>
      </c>
      <c r="AV4" t="s">
        <v>65</v>
      </c>
      <c r="AW4">
        <v>0</v>
      </c>
      <c r="AX4">
        <v>2</v>
      </c>
      <c r="AY4">
        <v>0</v>
      </c>
      <c r="AZ4">
        <v>0</v>
      </c>
      <c r="BA4">
        <v>100</v>
      </c>
      <c r="BB4">
        <v>100</v>
      </c>
      <c r="BC4">
        <v>100</v>
      </c>
      <c r="BD4">
        <v>100</v>
      </c>
      <c r="BE4">
        <v>1</v>
      </c>
      <c r="BF4">
        <v>15000</v>
      </c>
      <c r="BG4">
        <v>1000</v>
      </c>
      <c r="BH4" s="8">
        <f>Granger_Inventory[[#This Row],[land_extract]]*Lookups!$B$3</f>
        <v>19616.42740275669</v>
      </c>
      <c r="BI4" s="8">
        <f>IF(Granger_Inventory[[#This Row],[bldg_style]]="",0,Lookups!$B$2)</f>
        <v>29703.559000000001</v>
      </c>
      <c r="BJ4" s="8">
        <f>_xlfn.IFNA(VLOOKUP(Granger_Inventory[[#This Row],[quality]],Lookups!$H$2:$J$14,3,FALSE),0)</f>
        <v>34195</v>
      </c>
      <c r="BK4" s="8">
        <f>_xlfn.IFNA(VLOOKUP(Granger_Inventory[[#This Row],[condition]],Lookups!$H$17:$J$24,3,FALSE),0)</f>
        <v>33736</v>
      </c>
      <c r="BL4" s="8">
        <f>Granger_Inventory[[#This Row],[Age]]*Lookups!$B$16</f>
        <v>-12647.197099999999</v>
      </c>
      <c r="BM4" s="8">
        <f>Granger_Inventory[[#This Row],[living_area]]*Lookups!$B$17</f>
        <v>63505.626096</v>
      </c>
      <c r="BN4" s="8">
        <f>(Granger_Inventory[[#This Row],[att_gar]]+Granger_Inventory[[#This Row],[blt_gar]])*Lookups!$B$18</f>
        <v>0</v>
      </c>
      <c r="BO4" s="8">
        <f>Granger_Inventory[[#This Row],[Patio]]*Lookups!$B$19</f>
        <v>0</v>
      </c>
      <c r="BP4" s="8">
        <f>SUM(Granger_Inventory[[#This Row],[Intercept]:[Patio_Value]])*Granger_Inventory[[#This Row],[res_pct]]</f>
        <v>148492.98799600001</v>
      </c>
      <c r="BQ4" s="8">
        <f>Granger_Inventory[[#This Row],[land_value]]</f>
        <v>19616.42740275669</v>
      </c>
      <c r="BR4" s="4">
        <f>_xlfn.IFNA(VLOOKUP(Granger_Inventory[[#This Row],[quality]],Lookups!$A$25:$C$35,3,FALSE),1)</f>
        <v>0.98258795897788032</v>
      </c>
      <c r="BS4" s="4">
        <f>_xlfn.IFNA(VLOOKUP(Granger_Inventory[[#This Row],[condition]],Lookups!$A$38:$C$45,3,FALSE),1)</f>
        <v>0.92294678898076177</v>
      </c>
      <c r="BT4" s="4">
        <f>IF(Granger_Inventory[[#This Row],[decade]]="",1,_xlfn.IFNA(VLOOKUP(Granger_Inventory[[#This Row],[decade]],Lookups!$G$28:$I$42,3,FALSE),1))</f>
        <v>1.0270382440255921</v>
      </c>
      <c r="BU4" s="4">
        <f>_xlfn.IFNA(VLOOKUP(Granger_Inventory[[#This Row],[living_area_range]],Lookups!$A$48:$C$57,3,FALSE),1)</f>
        <v>0.81272404900450645</v>
      </c>
      <c r="BV4" s="4">
        <f>AVERAGE(Granger_Inventory[[#This Row],[qual_adj]:[living_range_adj]])</f>
        <v>0.93632426024718507</v>
      </c>
      <c r="BW4" s="8">
        <f>(Granger_Inventory[[#This Row],[sum_land]]-IF(Granger_Inventory[[#This Row],[no_utilities]]=1,12000,0))/IF(Granger_Inventory[[#This Row],[unbuildable]]=1,2,1)</f>
        <v>19616.42740275669</v>
      </c>
      <c r="BX4" s="8">
        <f>Granger_Inventory[[#This Row],[pre_res]]*Granger_Inventory[[#This Row],[overall_adj]]</f>
        <v>139037.58713724883</v>
      </c>
      <c r="BY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4">
        <f>ROUND(Granger_Inventory[[#This Row],[detatched_value]]*Lookups!$I$45,-2)</f>
        <v>0</v>
      </c>
      <c r="CA4">
        <f>IF(ROUND(Granger_Inventory[[#This Row],[adj_res]]*Lookups!$I$45,-2)&lt;Granger_Inventory[[#This Row],[min_res]],Granger_Inventory[[#This Row],[min_res]],ROUND(Granger_Inventory[[#This Row],[adj_res]]*Lookups!$I$45,-2))</f>
        <v>132100</v>
      </c>
      <c r="CB4">
        <f>Granger_Inventory[[#This Row],[final_det]]+Granger_Inventory[[#This Row],[final_res]]</f>
        <v>132100</v>
      </c>
      <c r="CC4">
        <f>Granger_Inventory[[#This Row],[final_land]]+Granger_Inventory[[#This Row],[final_imp]]+Granger_Inventory[[#This Row],[crop_value]]</f>
        <v>150700</v>
      </c>
      <c r="CE4" t="str">
        <f t="shared" si="0"/>
        <v>update valuation set market_land =18600, market_bldg=132100, market_total =150700, market_mdno =402, market_date ='9/10/2023' where link_id = (select link_id from parcel where parcel_year = '2024' and parcel_id = '21101531401');</v>
      </c>
    </row>
    <row r="5" spans="1:84" x14ac:dyDescent="0.25">
      <c r="A5">
        <v>21101531403</v>
      </c>
      <c r="B5">
        <v>0.2</v>
      </c>
      <c r="C5">
        <v>8764</v>
      </c>
      <c r="D5" t="s">
        <v>137</v>
      </c>
      <c r="E5" t="s">
        <v>54</v>
      </c>
      <c r="F5" t="s">
        <v>54</v>
      </c>
      <c r="G5">
        <v>3</v>
      </c>
      <c r="H5" t="s">
        <v>55</v>
      </c>
      <c r="I5">
        <v>221500</v>
      </c>
      <c r="J5">
        <v>28000</v>
      </c>
      <c r="K5">
        <v>0.2</v>
      </c>
      <c r="L5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5">
        <v>0</v>
      </c>
      <c r="N5">
        <v>0</v>
      </c>
      <c r="O5">
        <v>0</v>
      </c>
      <c r="P5">
        <v>47108.068500000001</v>
      </c>
      <c r="Q5">
        <v>122298</v>
      </c>
      <c r="R5">
        <f>(Granger_Inventory[[#This Row],[ln_acres]]*Granger_Inventory[[#This Row],[coeff]])+Granger_Inventory[[#This Row],[const]]</f>
        <v>46480.488574557399</v>
      </c>
      <c r="S5" t="s">
        <v>56</v>
      </c>
      <c r="T5">
        <v>1</v>
      </c>
      <c r="U5" t="s">
        <v>57</v>
      </c>
      <c r="V5" t="s">
        <v>72</v>
      </c>
      <c r="W5">
        <v>0</v>
      </c>
      <c r="X5">
        <v>0</v>
      </c>
      <c r="Y5">
        <v>18</v>
      </c>
      <c r="Z5">
        <v>18</v>
      </c>
      <c r="AA5">
        <v>20</v>
      </c>
      <c r="AB5">
        <v>1500</v>
      </c>
      <c r="AC5">
        <v>1092</v>
      </c>
      <c r="AD5">
        <v>1092</v>
      </c>
      <c r="AE5">
        <v>0</v>
      </c>
      <c r="AF5">
        <v>0</v>
      </c>
      <c r="AG5">
        <v>0</v>
      </c>
      <c r="AH5">
        <v>0</v>
      </c>
      <c r="AI5">
        <v>273</v>
      </c>
      <c r="AJ5">
        <v>0</v>
      </c>
      <c r="AK5">
        <v>0</v>
      </c>
      <c r="AL5">
        <v>0</v>
      </c>
      <c r="AM5">
        <v>0</v>
      </c>
      <c r="AN5">
        <v>54</v>
      </c>
      <c r="AO5">
        <v>0</v>
      </c>
      <c r="AP5">
        <v>8</v>
      </c>
      <c r="AQ5">
        <v>0</v>
      </c>
      <c r="AR5">
        <v>0</v>
      </c>
      <c r="AS5" t="s">
        <v>59</v>
      </c>
      <c r="AT5">
        <v>1</v>
      </c>
      <c r="AU5" t="s">
        <v>63</v>
      </c>
      <c r="AV5" t="s">
        <v>65</v>
      </c>
      <c r="AW5">
        <v>1</v>
      </c>
      <c r="AX5">
        <v>3</v>
      </c>
      <c r="AY5">
        <v>0</v>
      </c>
      <c r="AZ5">
        <v>0</v>
      </c>
      <c r="BA5">
        <v>100</v>
      </c>
      <c r="BB5">
        <v>100</v>
      </c>
      <c r="BC5">
        <v>100</v>
      </c>
      <c r="BD5">
        <v>100</v>
      </c>
      <c r="BE5">
        <v>1</v>
      </c>
      <c r="BF5">
        <v>15000</v>
      </c>
      <c r="BG5">
        <v>1000</v>
      </c>
      <c r="BH5" s="8">
        <f>Granger_Inventory[[#This Row],[land_extract]]*Lookups!$B$3</f>
        <v>27689.858642911939</v>
      </c>
      <c r="BI5" s="8">
        <f>IF(Granger_Inventory[[#This Row],[bldg_style]]="",0,Lookups!$B$2)</f>
        <v>29703.559000000001</v>
      </c>
      <c r="BJ5" s="8">
        <f>_xlfn.IFNA(VLOOKUP(Granger_Inventory[[#This Row],[quality]],Lookups!$H$2:$J$14,3,FALSE),0)</f>
        <v>56414</v>
      </c>
      <c r="BK5" s="8">
        <f>_xlfn.IFNA(VLOOKUP(Granger_Inventory[[#This Row],[condition]],Lookups!$H$17:$J$24,3,FALSE),0)</f>
        <v>94106</v>
      </c>
      <c r="BL5" s="8">
        <f>Granger_Inventory[[#This Row],[Age]]*Lookups!$B$16</f>
        <v>-3731.9597999999996</v>
      </c>
      <c r="BM5" s="8">
        <f>Granger_Inventory[[#This Row],[living_area]]*Lookups!$B$17</f>
        <v>73462.016627999998</v>
      </c>
      <c r="BN5" s="8">
        <f>(Granger_Inventory[[#This Row],[att_gar]]+Granger_Inventory[[#This Row],[blt_gar]])*Lookups!$B$18</f>
        <v>13226.190978000001</v>
      </c>
      <c r="BO5" s="8">
        <f>Granger_Inventory[[#This Row],[Patio]]*Lookups!$B$19</f>
        <v>0</v>
      </c>
      <c r="BP5" s="8">
        <f>SUM(Granger_Inventory[[#This Row],[Intercept]:[Patio_Value]])*Granger_Inventory[[#This Row],[res_pct]]</f>
        <v>263179.80680600001</v>
      </c>
      <c r="BQ5" s="8">
        <f>Granger_Inventory[[#This Row],[land_value]]</f>
        <v>27689.858642911939</v>
      </c>
      <c r="BR5" s="4">
        <f>_xlfn.IFNA(VLOOKUP(Granger_Inventory[[#This Row],[quality]],Lookups!$A$25:$C$35,3,FALSE),1)</f>
        <v>0.98791809110152173</v>
      </c>
      <c r="BS5" s="4">
        <f>_xlfn.IFNA(VLOOKUP(Granger_Inventory[[#This Row],[condition]],Lookups!$A$38:$C$45,3,FALSE),1)</f>
        <v>0.98658583151544277</v>
      </c>
      <c r="BT5" s="4">
        <f>IF(Granger_Inventory[[#This Row],[decade]]="",1,_xlfn.IFNA(VLOOKUP(Granger_Inventory[[#This Row],[decade]],Lookups!$G$28:$I$42,3,FALSE),1))</f>
        <v>1.0159161060824455</v>
      </c>
      <c r="BU5" s="4">
        <f>_xlfn.IFNA(VLOOKUP(Granger_Inventory[[#This Row],[living_area_range]],Lookups!$A$48:$C$57,3,FALSE),1)</f>
        <v>0.97960506760539345</v>
      </c>
      <c r="BV5" s="4">
        <f>AVERAGE(Granger_Inventory[[#This Row],[qual_adj]:[living_range_adj]])</f>
        <v>0.99250627407620096</v>
      </c>
      <c r="BW5" s="8">
        <f>(Granger_Inventory[[#This Row],[sum_land]]-IF(Granger_Inventory[[#This Row],[no_utilities]]=1,12000,0))/IF(Granger_Inventory[[#This Row],[unbuildable]]=1,2,1)</f>
        <v>27689.858642911939</v>
      </c>
      <c r="BX5" s="8">
        <f>Granger_Inventory[[#This Row],[pre_res]]*Granger_Inventory[[#This Row],[overall_adj]]</f>
        <v>261207.60946511745</v>
      </c>
      <c r="BY5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5">
        <f>ROUND(Granger_Inventory[[#This Row],[detatched_value]]*Lookups!$I$45,-2)</f>
        <v>0</v>
      </c>
      <c r="CA5">
        <f>IF(ROUND(Granger_Inventory[[#This Row],[adj_res]]*Lookups!$I$45,-2)&lt;Granger_Inventory[[#This Row],[min_res]],Granger_Inventory[[#This Row],[min_res]],ROUND(Granger_Inventory[[#This Row],[adj_res]]*Lookups!$I$45,-2))</f>
        <v>248100</v>
      </c>
      <c r="CB5">
        <f>Granger_Inventory[[#This Row],[final_det]]+Granger_Inventory[[#This Row],[final_res]]</f>
        <v>248100</v>
      </c>
      <c r="CC5">
        <f>Granger_Inventory[[#This Row],[final_land]]+Granger_Inventory[[#This Row],[final_imp]]+Granger_Inventory[[#This Row],[crop_value]]</f>
        <v>274400</v>
      </c>
      <c r="CE5" t="str">
        <f t="shared" si="0"/>
        <v>update valuation set market_land =26300, market_bldg=248100, market_total =274400, market_mdno =402, market_date ='9/10/2023' where link_id = (select link_id from parcel where parcel_year = '2024' and parcel_id = '21101531403');</v>
      </c>
    </row>
    <row r="6" spans="1:84" x14ac:dyDescent="0.25">
      <c r="A6">
        <v>21101531404</v>
      </c>
      <c r="B6">
        <v>0.17</v>
      </c>
      <c r="C6">
        <v>7352</v>
      </c>
      <c r="D6" t="s">
        <v>137</v>
      </c>
      <c r="E6" t="s">
        <v>54</v>
      </c>
      <c r="F6" t="s">
        <v>54</v>
      </c>
      <c r="G6">
        <v>3</v>
      </c>
      <c r="H6" t="s">
        <v>55</v>
      </c>
      <c r="I6">
        <v>298500</v>
      </c>
      <c r="J6">
        <v>27100</v>
      </c>
      <c r="K6">
        <v>0.17</v>
      </c>
      <c r="L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6">
        <v>0</v>
      </c>
      <c r="N6">
        <v>0</v>
      </c>
      <c r="O6">
        <v>0</v>
      </c>
      <c r="P6">
        <v>47108.068500000001</v>
      </c>
      <c r="Q6">
        <v>122298</v>
      </c>
      <c r="R6">
        <f>(Granger_Inventory[[#This Row],[ln_acres]]*Granger_Inventory[[#This Row],[coeff]])+Granger_Inventory[[#This Row],[const]]</f>
        <v>38824.535711229546</v>
      </c>
      <c r="S6" t="s">
        <v>59</v>
      </c>
      <c r="T6">
        <v>1</v>
      </c>
      <c r="U6" t="s">
        <v>57</v>
      </c>
      <c r="V6" t="s">
        <v>58</v>
      </c>
      <c r="W6">
        <v>0</v>
      </c>
      <c r="X6">
        <v>0</v>
      </c>
      <c r="Y6">
        <v>8</v>
      </c>
      <c r="Z6">
        <v>8</v>
      </c>
      <c r="AA6">
        <v>10</v>
      </c>
      <c r="AB6">
        <v>2000</v>
      </c>
      <c r="AC6">
        <v>1546</v>
      </c>
      <c r="AD6">
        <v>1546</v>
      </c>
      <c r="AE6">
        <v>0</v>
      </c>
      <c r="AF6">
        <v>0</v>
      </c>
      <c r="AG6">
        <v>0</v>
      </c>
      <c r="AH6">
        <v>0</v>
      </c>
      <c r="AI6">
        <v>280</v>
      </c>
      <c r="AJ6">
        <v>0</v>
      </c>
      <c r="AK6">
        <v>0</v>
      </c>
      <c r="AL6">
        <v>0</v>
      </c>
      <c r="AM6">
        <v>0</v>
      </c>
      <c r="AN6">
        <v>421</v>
      </c>
      <c r="AO6">
        <v>0</v>
      </c>
      <c r="AP6">
        <v>8</v>
      </c>
      <c r="AQ6">
        <v>0</v>
      </c>
      <c r="AR6">
        <v>0</v>
      </c>
      <c r="AS6" t="s">
        <v>59</v>
      </c>
      <c r="AT6">
        <v>1</v>
      </c>
      <c r="AU6" t="s">
        <v>63</v>
      </c>
      <c r="AV6" t="s">
        <v>65</v>
      </c>
      <c r="AW6">
        <v>1</v>
      </c>
      <c r="AX6">
        <v>3</v>
      </c>
      <c r="AY6">
        <v>0</v>
      </c>
      <c r="AZ6">
        <v>0</v>
      </c>
      <c r="BA6">
        <v>100</v>
      </c>
      <c r="BB6">
        <v>100</v>
      </c>
      <c r="BC6">
        <v>100</v>
      </c>
      <c r="BD6">
        <v>100</v>
      </c>
      <c r="BE6">
        <v>1</v>
      </c>
      <c r="BF6">
        <v>15000</v>
      </c>
      <c r="BG6">
        <v>1000</v>
      </c>
      <c r="BH6" s="8">
        <f>Granger_Inventory[[#This Row],[land_extract]]*Lookups!$B$3</f>
        <v>23128.971718879347</v>
      </c>
      <c r="BI6" s="8">
        <f>IF(Granger_Inventory[[#This Row],[bldg_style]]="",0,Lookups!$B$2)</f>
        <v>29703.559000000001</v>
      </c>
      <c r="BJ6" s="8">
        <f>_xlfn.IFNA(VLOOKUP(Granger_Inventory[[#This Row],[quality]],Lookups!$H$2:$J$14,3,FALSE),0)</f>
        <v>56414</v>
      </c>
      <c r="BK6" s="8">
        <f>_xlfn.IFNA(VLOOKUP(Granger_Inventory[[#This Row],[condition]],Lookups!$H$17:$J$24,3,FALSE),0)</f>
        <v>101774</v>
      </c>
      <c r="BL6" s="8">
        <f>Granger_Inventory[[#This Row],[Age]]*Lookups!$B$16</f>
        <v>-1658.6487999999999</v>
      </c>
      <c r="BM6" s="8">
        <f>Granger_Inventory[[#This Row],[living_area]]*Lookups!$B$17</f>
        <v>104003.91731399999</v>
      </c>
      <c r="BN6" s="8">
        <f>(Granger_Inventory[[#This Row],[att_gar]]+Granger_Inventory[[#This Row],[blt_gar]])*Lookups!$B$18</f>
        <v>13565.32408</v>
      </c>
      <c r="BO6" s="8">
        <f>Granger_Inventory[[#This Row],[Patio]]*Lookups!$B$19</f>
        <v>0</v>
      </c>
      <c r="BP6" s="8">
        <f>SUM(Granger_Inventory[[#This Row],[Intercept]:[Patio_Value]])*Granger_Inventory[[#This Row],[res_pct]]</f>
        <v>303802.151594</v>
      </c>
      <c r="BQ6" s="8">
        <f>Granger_Inventory[[#This Row],[land_value]]</f>
        <v>23128.971718879347</v>
      </c>
      <c r="BR6" s="4">
        <f>_xlfn.IFNA(VLOOKUP(Granger_Inventory[[#This Row],[quality]],Lookups!$A$25:$C$35,3,FALSE),1)</f>
        <v>0.98791809110152173</v>
      </c>
      <c r="BS6" s="4">
        <f>_xlfn.IFNA(VLOOKUP(Granger_Inventory[[#This Row],[condition]],Lookups!$A$38:$C$45,3,FALSE),1)</f>
        <v>0.99135053432734199</v>
      </c>
      <c r="BT6" s="4">
        <f>IF(Granger_Inventory[[#This Row],[decade]]="",1,_xlfn.IFNA(VLOOKUP(Granger_Inventory[[#This Row],[decade]],Lookups!$G$28:$I$42,3,FALSE),1))</f>
        <v>0.95532362136731586</v>
      </c>
      <c r="BU6" s="4">
        <f>_xlfn.IFNA(VLOOKUP(Granger_Inventory[[#This Row],[living_area_range]],Lookups!$A$48:$C$57,3,FALSE),1)</f>
        <v>0.97860968051050168</v>
      </c>
      <c r="BV6" s="4">
        <f>AVERAGE(Granger_Inventory[[#This Row],[qual_adj]:[living_range_adj]])</f>
        <v>0.97830048182667029</v>
      </c>
      <c r="BW6" s="8">
        <f>(Granger_Inventory[[#This Row],[sum_land]]-IF(Granger_Inventory[[#This Row],[no_utilities]]=1,12000,0))/IF(Granger_Inventory[[#This Row],[unbuildable]]=1,2,1)</f>
        <v>23128.971718879347</v>
      </c>
      <c r="BX6" s="8">
        <f>Granger_Inventory[[#This Row],[pre_res]]*Granger_Inventory[[#This Row],[overall_adj]]</f>
        <v>297209.79128438933</v>
      </c>
      <c r="BY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6">
        <f>ROUND(Granger_Inventory[[#This Row],[detatched_value]]*Lookups!$I$45,-2)</f>
        <v>0</v>
      </c>
      <c r="CA6">
        <f>IF(ROUND(Granger_Inventory[[#This Row],[adj_res]]*Lookups!$I$45,-2)&lt;Granger_Inventory[[#This Row],[min_res]],Granger_Inventory[[#This Row],[min_res]],ROUND(Granger_Inventory[[#This Row],[adj_res]]*Lookups!$I$45,-2))</f>
        <v>282300</v>
      </c>
      <c r="CB6">
        <f>Granger_Inventory[[#This Row],[final_det]]+Granger_Inventory[[#This Row],[final_res]]</f>
        <v>282300</v>
      </c>
      <c r="CC6">
        <f>Granger_Inventory[[#This Row],[final_land]]+Granger_Inventory[[#This Row],[final_imp]]+Granger_Inventory[[#This Row],[crop_value]]</f>
        <v>304300</v>
      </c>
      <c r="CE6" t="str">
        <f t="shared" si="0"/>
        <v>update valuation set market_land =22000, market_bldg=282300, market_total =304300, market_mdno =402, market_date ='9/10/2023' where link_id = (select link_id from parcel where parcel_year = '2024' and parcel_id = '21101531404');</v>
      </c>
    </row>
    <row r="7" spans="1:84" x14ac:dyDescent="0.25">
      <c r="A7">
        <v>21101531405</v>
      </c>
      <c r="B7">
        <v>0.27</v>
      </c>
      <c r="C7">
        <v>11863</v>
      </c>
      <c r="D7" t="s">
        <v>137</v>
      </c>
      <c r="E7" t="s">
        <v>54</v>
      </c>
      <c r="F7" t="s">
        <v>54</v>
      </c>
      <c r="G7">
        <v>3</v>
      </c>
      <c r="H7" t="s">
        <v>55</v>
      </c>
      <c r="I7">
        <v>266100</v>
      </c>
      <c r="J7">
        <v>29800</v>
      </c>
      <c r="K7">
        <v>0.27</v>
      </c>
      <c r="L7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7">
        <v>0</v>
      </c>
      <c r="N7">
        <v>0</v>
      </c>
      <c r="O7">
        <v>0</v>
      </c>
      <c r="P7">
        <v>47108.068500000001</v>
      </c>
      <c r="Q7">
        <v>122298</v>
      </c>
      <c r="R7">
        <f>(Granger_Inventory[[#This Row],[ln_acres]]*Granger_Inventory[[#This Row],[coeff]])+Granger_Inventory[[#This Row],[const]]</f>
        <v>60617.836272872511</v>
      </c>
      <c r="S7" t="s">
        <v>56</v>
      </c>
      <c r="T7">
        <v>1</v>
      </c>
      <c r="U7" t="s">
        <v>57</v>
      </c>
      <c r="V7" t="s">
        <v>70</v>
      </c>
      <c r="W7">
        <v>0</v>
      </c>
      <c r="X7">
        <v>0</v>
      </c>
      <c r="Y7">
        <v>16</v>
      </c>
      <c r="Z7">
        <v>16</v>
      </c>
      <c r="AA7">
        <v>20</v>
      </c>
      <c r="AB7">
        <v>1500</v>
      </c>
      <c r="AC7">
        <v>1087</v>
      </c>
      <c r="AD7">
        <v>1087</v>
      </c>
      <c r="AE7">
        <v>0</v>
      </c>
      <c r="AF7">
        <v>0</v>
      </c>
      <c r="AG7">
        <v>0</v>
      </c>
      <c r="AH7">
        <v>0</v>
      </c>
      <c r="AI7">
        <v>520</v>
      </c>
      <c r="AJ7">
        <v>0</v>
      </c>
      <c r="AK7">
        <v>0</v>
      </c>
      <c r="AL7">
        <v>0</v>
      </c>
      <c r="AM7">
        <v>752</v>
      </c>
      <c r="AN7">
        <v>33</v>
      </c>
      <c r="AO7">
        <v>752</v>
      </c>
      <c r="AP7">
        <v>8</v>
      </c>
      <c r="AQ7">
        <v>0</v>
      </c>
      <c r="AR7">
        <v>0</v>
      </c>
      <c r="AS7" t="s">
        <v>59</v>
      </c>
      <c r="AT7">
        <v>1</v>
      </c>
      <c r="AU7" t="s">
        <v>60</v>
      </c>
      <c r="AV7" t="s">
        <v>61</v>
      </c>
      <c r="AW7">
        <v>1</v>
      </c>
      <c r="AX7">
        <v>3</v>
      </c>
      <c r="AY7">
        <v>0</v>
      </c>
      <c r="AZ7">
        <v>0</v>
      </c>
      <c r="BA7">
        <v>100</v>
      </c>
      <c r="BB7">
        <v>100</v>
      </c>
      <c r="BC7">
        <v>100</v>
      </c>
      <c r="BD7">
        <v>100</v>
      </c>
      <c r="BE7">
        <v>1</v>
      </c>
      <c r="BF7">
        <v>15000</v>
      </c>
      <c r="BG7">
        <v>1000</v>
      </c>
      <c r="BH7" s="8">
        <f>Granger_Inventory[[#This Row],[land_extract]]*Lookups!$B$3</f>
        <v>36111.912097107357</v>
      </c>
      <c r="BI7" s="8">
        <f>IF(Granger_Inventory[[#This Row],[bldg_style]]="",0,Lookups!$B$2)</f>
        <v>29703.559000000001</v>
      </c>
      <c r="BJ7" s="8">
        <f>_xlfn.IFNA(VLOOKUP(Granger_Inventory[[#This Row],[quality]],Lookups!$H$2:$J$14,3,FALSE),0)</f>
        <v>56414</v>
      </c>
      <c r="BK7" s="8">
        <f>_xlfn.IFNA(VLOOKUP(Granger_Inventory[[#This Row],[condition]],Lookups!$H$17:$J$24,3,FALSE),0)</f>
        <v>80695</v>
      </c>
      <c r="BL7" s="8">
        <f>Granger_Inventory[[#This Row],[Age]]*Lookups!$B$16</f>
        <v>-3317.2975999999999</v>
      </c>
      <c r="BM7" s="8">
        <f>Granger_Inventory[[#This Row],[living_area]]*Lookups!$B$17</f>
        <v>73125.652082999994</v>
      </c>
      <c r="BN7" s="8">
        <f>(Granger_Inventory[[#This Row],[att_gar]]+Granger_Inventory[[#This Row],[blt_gar]])*Lookups!$B$18</f>
        <v>25192.744720000002</v>
      </c>
      <c r="BO7" s="8">
        <f>Granger_Inventory[[#This Row],[Patio]]*Lookups!$B$19</f>
        <v>40844.952191999997</v>
      </c>
      <c r="BP7" s="8">
        <f>SUM(Granger_Inventory[[#This Row],[Intercept]:[Patio_Value]])*Granger_Inventory[[#This Row],[res_pct]]</f>
        <v>302658.61039500003</v>
      </c>
      <c r="BQ7" s="8">
        <f>Granger_Inventory[[#This Row],[land_value]]</f>
        <v>36111.912097107357</v>
      </c>
      <c r="BR7" s="4">
        <f>_xlfn.IFNA(VLOOKUP(Granger_Inventory[[#This Row],[quality]],Lookups!$A$25:$C$35,3,FALSE),1)</f>
        <v>0.98791809110152173</v>
      </c>
      <c r="BS7" s="4">
        <f>_xlfn.IFNA(VLOOKUP(Granger_Inventory[[#This Row],[condition]],Lookups!$A$38:$C$45,3,FALSE),1)</f>
        <v>0.99484195314749324</v>
      </c>
      <c r="BT7" s="4">
        <f>IF(Granger_Inventory[[#This Row],[decade]]="",1,_xlfn.IFNA(VLOOKUP(Granger_Inventory[[#This Row],[decade]],Lookups!$G$28:$I$42,3,FALSE),1))</f>
        <v>1.0159161060824455</v>
      </c>
      <c r="BU7" s="4">
        <f>_xlfn.IFNA(VLOOKUP(Granger_Inventory[[#This Row],[living_area_range]],Lookups!$A$48:$C$57,3,FALSE),1)</f>
        <v>0.97960506760539345</v>
      </c>
      <c r="BV7" s="4">
        <f>AVERAGE(Granger_Inventory[[#This Row],[qual_adj]:[living_range_adj]])</f>
        <v>0.99457030448421357</v>
      </c>
      <c r="BW7" s="8">
        <f>(Granger_Inventory[[#This Row],[sum_land]]-IF(Granger_Inventory[[#This Row],[no_utilities]]=1,12000,0))/IF(Granger_Inventory[[#This Row],[unbuildable]]=1,2,1)</f>
        <v>36111.912097107357</v>
      </c>
      <c r="BX7" s="8">
        <f>Granger_Inventory[[#This Row],[pre_res]]*Granger_Inventory[[#This Row],[overall_adj]]</f>
        <v>301015.26629532414</v>
      </c>
      <c r="BY7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7">
        <f>ROUND(Granger_Inventory[[#This Row],[detatched_value]]*Lookups!$I$45,-2)</f>
        <v>0</v>
      </c>
      <c r="CA7">
        <f>IF(ROUND(Granger_Inventory[[#This Row],[adj_res]]*Lookups!$I$45,-2)&lt;Granger_Inventory[[#This Row],[min_res]],Granger_Inventory[[#This Row],[min_res]],ROUND(Granger_Inventory[[#This Row],[adj_res]]*Lookups!$I$45,-2))</f>
        <v>286000</v>
      </c>
      <c r="CB7">
        <f>Granger_Inventory[[#This Row],[final_det]]+Granger_Inventory[[#This Row],[final_res]]</f>
        <v>286000</v>
      </c>
      <c r="CC7">
        <f>Granger_Inventory[[#This Row],[final_land]]+Granger_Inventory[[#This Row],[final_imp]]+Granger_Inventory[[#This Row],[crop_value]]</f>
        <v>320300</v>
      </c>
      <c r="CE7" t="str">
        <f t="shared" si="0"/>
        <v>update valuation set market_land =34300, market_bldg=286000, market_total =320300, market_mdno =402, market_date ='9/10/2023' where link_id = (select link_id from parcel where parcel_year = '2024' and parcel_id = '21101531405');</v>
      </c>
    </row>
    <row r="8" spans="1:84" x14ac:dyDescent="0.25">
      <c r="A8">
        <v>21101531406</v>
      </c>
      <c r="B8">
        <v>0.17</v>
      </c>
      <c r="C8">
        <v>7598</v>
      </c>
      <c r="D8" t="s">
        <v>137</v>
      </c>
      <c r="E8" t="s">
        <v>54</v>
      </c>
      <c r="F8" t="s">
        <v>54</v>
      </c>
      <c r="G8">
        <v>3</v>
      </c>
      <c r="H8" t="s">
        <v>55</v>
      </c>
      <c r="I8">
        <v>324000</v>
      </c>
      <c r="J8">
        <v>27100</v>
      </c>
      <c r="K8">
        <v>0.17</v>
      </c>
      <c r="L8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8">
        <v>0</v>
      </c>
      <c r="N8">
        <v>0</v>
      </c>
      <c r="O8">
        <v>0</v>
      </c>
      <c r="P8">
        <v>47108.068500000001</v>
      </c>
      <c r="Q8">
        <v>122298</v>
      </c>
      <c r="R8">
        <f>(Granger_Inventory[[#This Row],[ln_acres]]*Granger_Inventory[[#This Row],[coeff]])+Granger_Inventory[[#This Row],[const]]</f>
        <v>38824.535711229546</v>
      </c>
      <c r="S8" t="s">
        <v>59</v>
      </c>
      <c r="T8">
        <v>1</v>
      </c>
      <c r="U8" t="s">
        <v>61</v>
      </c>
      <c r="V8" t="s">
        <v>70</v>
      </c>
      <c r="W8">
        <v>0</v>
      </c>
      <c r="X8">
        <v>0</v>
      </c>
      <c r="Y8">
        <v>4</v>
      </c>
      <c r="Z8">
        <v>4</v>
      </c>
      <c r="AA8">
        <v>10</v>
      </c>
      <c r="AB8">
        <v>1500</v>
      </c>
      <c r="AC8">
        <v>1408</v>
      </c>
      <c r="AD8">
        <v>1408</v>
      </c>
      <c r="AE8">
        <v>0</v>
      </c>
      <c r="AF8">
        <v>0</v>
      </c>
      <c r="AG8">
        <v>0</v>
      </c>
      <c r="AH8">
        <v>0</v>
      </c>
      <c r="AI8">
        <v>504</v>
      </c>
      <c r="AJ8">
        <v>0</v>
      </c>
      <c r="AK8">
        <v>0</v>
      </c>
      <c r="AL8">
        <v>0</v>
      </c>
      <c r="AM8">
        <v>0</v>
      </c>
      <c r="AN8">
        <v>120</v>
      </c>
      <c r="AO8">
        <v>0</v>
      </c>
      <c r="AP8">
        <v>9</v>
      </c>
      <c r="AQ8">
        <v>0</v>
      </c>
      <c r="AR8">
        <v>0</v>
      </c>
      <c r="AS8" t="s">
        <v>59</v>
      </c>
      <c r="AT8">
        <v>1</v>
      </c>
      <c r="AU8" t="s">
        <v>63</v>
      </c>
      <c r="AV8" t="s">
        <v>65</v>
      </c>
      <c r="AW8">
        <v>1</v>
      </c>
      <c r="AX8">
        <v>3</v>
      </c>
      <c r="AY8">
        <v>0</v>
      </c>
      <c r="AZ8">
        <v>0</v>
      </c>
      <c r="BA8">
        <v>100</v>
      </c>
      <c r="BB8">
        <v>100</v>
      </c>
      <c r="BC8">
        <v>100</v>
      </c>
      <c r="BD8">
        <v>100</v>
      </c>
      <c r="BE8">
        <v>1</v>
      </c>
      <c r="BF8">
        <v>15000</v>
      </c>
      <c r="BG8">
        <v>1000</v>
      </c>
      <c r="BH8" s="8">
        <f>Granger_Inventory[[#This Row],[land_extract]]*Lookups!$B$3</f>
        <v>23128.971718879347</v>
      </c>
      <c r="BI8" s="8">
        <f>IF(Granger_Inventory[[#This Row],[bldg_style]]="",0,Lookups!$B$2)</f>
        <v>29703.559000000001</v>
      </c>
      <c r="BJ8" s="8">
        <f>_xlfn.IFNA(VLOOKUP(Granger_Inventory[[#This Row],[quality]],Lookups!$H$2:$J$14,3,FALSE),0)</f>
        <v>71767</v>
      </c>
      <c r="BK8" s="8">
        <f>_xlfn.IFNA(VLOOKUP(Granger_Inventory[[#This Row],[condition]],Lookups!$H$17:$J$24,3,FALSE),0)</f>
        <v>80695</v>
      </c>
      <c r="BL8" s="8">
        <f>Granger_Inventory[[#This Row],[Age]]*Lookups!$B$16</f>
        <v>-829.32439999999997</v>
      </c>
      <c r="BM8" s="8">
        <f>Granger_Inventory[[#This Row],[living_area]]*Lookups!$B$17</f>
        <v>94720.255871999994</v>
      </c>
      <c r="BN8" s="8">
        <f>(Granger_Inventory[[#This Row],[att_gar]]+Granger_Inventory[[#This Row],[blt_gar]])*Lookups!$B$18</f>
        <v>24417.583343999999</v>
      </c>
      <c r="BO8" s="8">
        <f>Granger_Inventory[[#This Row],[Patio]]*Lookups!$B$19</f>
        <v>0</v>
      </c>
      <c r="BP8" s="8">
        <f>SUM(Granger_Inventory[[#This Row],[Intercept]:[Patio_Value]])*Granger_Inventory[[#This Row],[res_pct]]</f>
        <v>300474.07381599996</v>
      </c>
      <c r="BQ8" s="8">
        <f>Granger_Inventory[[#This Row],[land_value]]</f>
        <v>23128.971718879347</v>
      </c>
      <c r="BR8" s="4">
        <f>_xlfn.IFNA(VLOOKUP(Granger_Inventory[[#This Row],[quality]],Lookups!$A$25:$C$35,3,FALSE),1)</f>
        <v>0.992092799099482</v>
      </c>
      <c r="BS8" s="4">
        <f>_xlfn.IFNA(VLOOKUP(Granger_Inventory[[#This Row],[condition]],Lookups!$A$38:$C$45,3,FALSE),1)</f>
        <v>0.99484195314749324</v>
      </c>
      <c r="BT8" s="4">
        <f>IF(Granger_Inventory[[#This Row],[decade]]="",1,_xlfn.IFNA(VLOOKUP(Granger_Inventory[[#This Row],[decade]],Lookups!$G$28:$I$42,3,FALSE),1))</f>
        <v>0.95532362136731586</v>
      </c>
      <c r="BU8" s="4">
        <f>_xlfn.IFNA(VLOOKUP(Granger_Inventory[[#This Row],[living_area_range]],Lookups!$A$48:$C$57,3,FALSE),1)</f>
        <v>0.97960506760539345</v>
      </c>
      <c r="BV8" s="4">
        <f>AVERAGE(Granger_Inventory[[#This Row],[qual_adj]:[living_range_adj]])</f>
        <v>0.98046586030492111</v>
      </c>
      <c r="BW8" s="8">
        <f>(Granger_Inventory[[#This Row],[sum_land]]-IF(Granger_Inventory[[#This Row],[no_utilities]]=1,12000,0))/IF(Granger_Inventory[[#This Row],[unbuildable]]=1,2,1)</f>
        <v>23128.971718879347</v>
      </c>
      <c r="BX8" s="8">
        <f>Granger_Inventory[[#This Row],[pre_res]]*Granger_Inventory[[#This Row],[overall_adj]]</f>
        <v>294604.57128332875</v>
      </c>
      <c r="BY8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8">
        <f>ROUND(Granger_Inventory[[#This Row],[detatched_value]]*Lookups!$I$45,-2)</f>
        <v>0</v>
      </c>
      <c r="CA8">
        <f>IF(ROUND(Granger_Inventory[[#This Row],[adj_res]]*Lookups!$I$45,-2)&lt;Granger_Inventory[[#This Row],[min_res]],Granger_Inventory[[#This Row],[min_res]],ROUND(Granger_Inventory[[#This Row],[adj_res]]*Lookups!$I$45,-2))</f>
        <v>279900</v>
      </c>
      <c r="CB8">
        <f>Granger_Inventory[[#This Row],[final_det]]+Granger_Inventory[[#This Row],[final_res]]</f>
        <v>279900</v>
      </c>
      <c r="CC8">
        <f>Granger_Inventory[[#This Row],[final_land]]+Granger_Inventory[[#This Row],[final_imp]]+Granger_Inventory[[#This Row],[crop_value]]</f>
        <v>301900</v>
      </c>
      <c r="CE8" t="str">
        <f t="shared" si="0"/>
        <v>update valuation set market_land =22000, market_bldg=279900, market_total =301900, market_mdno =402, market_date ='9/10/2023' where link_id = (select link_id from parcel where parcel_year = '2024' and parcel_id = '21101531406');</v>
      </c>
    </row>
    <row r="9" spans="1:84" x14ac:dyDescent="0.25">
      <c r="A9">
        <v>21101531407</v>
      </c>
      <c r="B9">
        <v>0.18</v>
      </c>
      <c r="C9">
        <v>7844</v>
      </c>
      <c r="D9" t="s">
        <v>137</v>
      </c>
      <c r="E9" t="s">
        <v>54</v>
      </c>
      <c r="F9" t="s">
        <v>54</v>
      </c>
      <c r="G9">
        <v>3</v>
      </c>
      <c r="H9" t="s">
        <v>55</v>
      </c>
      <c r="I9">
        <v>364800</v>
      </c>
      <c r="J9">
        <v>27400</v>
      </c>
      <c r="K9">
        <v>0.18</v>
      </c>
      <c r="L9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9">
        <v>0</v>
      </c>
      <c r="N9">
        <v>0</v>
      </c>
      <c r="O9">
        <v>0</v>
      </c>
      <c r="P9">
        <v>47108.068500000001</v>
      </c>
      <c r="Q9">
        <v>122298</v>
      </c>
      <c r="R9">
        <f>(Granger_Inventory[[#This Row],[ln_acres]]*Granger_Inventory[[#This Row],[coeff]])+Granger_Inventory[[#This Row],[const]]</f>
        <v>41517.1581857532</v>
      </c>
      <c r="S9" t="s">
        <v>56</v>
      </c>
      <c r="T9">
        <v>1</v>
      </c>
      <c r="U9" t="s">
        <v>61</v>
      </c>
      <c r="V9" t="s">
        <v>58</v>
      </c>
      <c r="W9">
        <v>0</v>
      </c>
      <c r="X9">
        <v>0</v>
      </c>
      <c r="Y9">
        <v>7</v>
      </c>
      <c r="Z9">
        <v>7</v>
      </c>
      <c r="AA9">
        <v>10</v>
      </c>
      <c r="AB9">
        <v>2500</v>
      </c>
      <c r="AC9">
        <v>2014</v>
      </c>
      <c r="AD9">
        <v>2014</v>
      </c>
      <c r="AE9">
        <v>0</v>
      </c>
      <c r="AF9">
        <v>0</v>
      </c>
      <c r="AG9">
        <v>0</v>
      </c>
      <c r="AH9">
        <v>0</v>
      </c>
      <c r="AI9">
        <v>440</v>
      </c>
      <c r="AJ9">
        <v>0</v>
      </c>
      <c r="AK9">
        <v>0</v>
      </c>
      <c r="AL9">
        <v>0</v>
      </c>
      <c r="AM9">
        <v>0</v>
      </c>
      <c r="AN9">
        <v>308</v>
      </c>
      <c r="AO9">
        <v>0</v>
      </c>
      <c r="AP9">
        <v>11</v>
      </c>
      <c r="AQ9">
        <v>0</v>
      </c>
      <c r="AR9">
        <v>0</v>
      </c>
      <c r="AS9" t="s">
        <v>59</v>
      </c>
      <c r="AT9">
        <v>1</v>
      </c>
      <c r="AU9" t="s">
        <v>63</v>
      </c>
      <c r="AV9" t="s">
        <v>65</v>
      </c>
      <c r="AW9">
        <v>1</v>
      </c>
      <c r="AX9">
        <v>4</v>
      </c>
      <c r="AY9">
        <v>0</v>
      </c>
      <c r="AZ9">
        <v>0</v>
      </c>
      <c r="BA9">
        <v>100</v>
      </c>
      <c r="BB9">
        <v>100</v>
      </c>
      <c r="BC9">
        <v>100</v>
      </c>
      <c r="BD9">
        <v>100</v>
      </c>
      <c r="BE9">
        <v>1</v>
      </c>
      <c r="BF9">
        <v>15000</v>
      </c>
      <c r="BG9">
        <v>1000</v>
      </c>
      <c r="BH9" s="8">
        <f>Granger_Inventory[[#This Row],[land_extract]]*Lookups!$B$3</f>
        <v>24733.049859725303</v>
      </c>
      <c r="BI9" s="8">
        <f>IF(Granger_Inventory[[#This Row],[bldg_style]]="",0,Lookups!$B$2)</f>
        <v>29703.559000000001</v>
      </c>
      <c r="BJ9" s="8">
        <f>_xlfn.IFNA(VLOOKUP(Granger_Inventory[[#This Row],[quality]],Lookups!$H$2:$J$14,3,FALSE),0)</f>
        <v>71767</v>
      </c>
      <c r="BK9" s="8">
        <f>_xlfn.IFNA(VLOOKUP(Granger_Inventory[[#This Row],[condition]],Lookups!$H$17:$J$24,3,FALSE),0)</f>
        <v>101774</v>
      </c>
      <c r="BL9" s="8">
        <f>Granger_Inventory[[#This Row],[Age]]*Lookups!$B$16</f>
        <v>-1451.3177000000001</v>
      </c>
      <c r="BM9" s="8">
        <f>Granger_Inventory[[#This Row],[living_area]]*Lookups!$B$17</f>
        <v>135487.638726</v>
      </c>
      <c r="BN9" s="8">
        <f>(Granger_Inventory[[#This Row],[att_gar]]+Granger_Inventory[[#This Row],[blt_gar]])*Lookups!$B$18</f>
        <v>21316.937839999999</v>
      </c>
      <c r="BO9" s="8">
        <f>Granger_Inventory[[#This Row],[Patio]]*Lookups!$B$19</f>
        <v>0</v>
      </c>
      <c r="BP9" s="8">
        <f>SUM(Granger_Inventory[[#This Row],[Intercept]:[Patio_Value]])*Granger_Inventory[[#This Row],[res_pct]]</f>
        <v>358597.817866</v>
      </c>
      <c r="BQ9" s="8">
        <f>Granger_Inventory[[#This Row],[land_value]]</f>
        <v>24733.049859725303</v>
      </c>
      <c r="BR9" s="4">
        <f>_xlfn.IFNA(VLOOKUP(Granger_Inventory[[#This Row],[quality]],Lookups!$A$25:$C$35,3,FALSE),1)</f>
        <v>0.992092799099482</v>
      </c>
      <c r="BS9" s="4">
        <f>_xlfn.IFNA(VLOOKUP(Granger_Inventory[[#This Row],[condition]],Lookups!$A$38:$C$45,3,FALSE),1)</f>
        <v>0.99135053432734199</v>
      </c>
      <c r="BT9" s="4">
        <f>IF(Granger_Inventory[[#This Row],[decade]]="",1,_xlfn.IFNA(VLOOKUP(Granger_Inventory[[#This Row],[decade]],Lookups!$G$28:$I$42,3,FALSE),1))</f>
        <v>0.95532362136731586</v>
      </c>
      <c r="BU9" s="4">
        <f>_xlfn.IFNA(VLOOKUP(Granger_Inventory[[#This Row],[living_area_range]],Lookups!$A$48:$C$57,3,FALSE),1)</f>
        <v>1.0000039906678986</v>
      </c>
      <c r="BV9" s="4">
        <f>AVERAGE(Granger_Inventory[[#This Row],[qual_adj]:[living_range_adj]])</f>
        <v>0.98469273636550958</v>
      </c>
      <c r="BW9" s="8">
        <f>(Granger_Inventory[[#This Row],[sum_land]]-IF(Granger_Inventory[[#This Row],[no_utilities]]=1,12000,0))/IF(Granger_Inventory[[#This Row],[unbuildable]]=1,2,1)</f>
        <v>24733.049859725303</v>
      </c>
      <c r="BX9" s="8">
        <f>Granger_Inventory[[#This Row],[pre_res]]*Granger_Inventory[[#This Row],[overall_adj]]</f>
        <v>353108.66652917216</v>
      </c>
      <c r="BY9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9">
        <f>ROUND(Granger_Inventory[[#This Row],[detatched_value]]*Lookups!$I$45,-2)</f>
        <v>0</v>
      </c>
      <c r="CA9">
        <f>IF(ROUND(Granger_Inventory[[#This Row],[adj_res]]*Lookups!$I$45,-2)&lt;Granger_Inventory[[#This Row],[min_res]],Granger_Inventory[[#This Row],[min_res]],ROUND(Granger_Inventory[[#This Row],[adj_res]]*Lookups!$I$45,-2))</f>
        <v>335500</v>
      </c>
      <c r="CB9">
        <f>Granger_Inventory[[#This Row],[final_det]]+Granger_Inventory[[#This Row],[final_res]]</f>
        <v>335500</v>
      </c>
      <c r="CC9">
        <f>Granger_Inventory[[#This Row],[final_land]]+Granger_Inventory[[#This Row],[final_imp]]+Granger_Inventory[[#This Row],[crop_value]]</f>
        <v>359000</v>
      </c>
      <c r="CE9" t="str">
        <f t="shared" si="0"/>
        <v>update valuation set market_land =23500, market_bldg=335500, market_total =359000, market_mdno =402, market_date ='9/10/2023' where link_id = (select link_id from parcel where parcel_year = '2024' and parcel_id = '21101531407');</v>
      </c>
    </row>
    <row r="10" spans="1:84" x14ac:dyDescent="0.25">
      <c r="A10">
        <v>21101531408</v>
      </c>
      <c r="B10">
        <v>0.17</v>
      </c>
      <c r="C10">
        <v>7284</v>
      </c>
      <c r="D10" t="s">
        <v>137</v>
      </c>
      <c r="E10" t="s">
        <v>54</v>
      </c>
      <c r="F10" t="s">
        <v>54</v>
      </c>
      <c r="G10">
        <v>3</v>
      </c>
      <c r="H10" t="s">
        <v>55</v>
      </c>
      <c r="I10">
        <v>296800</v>
      </c>
      <c r="J10">
        <v>27100</v>
      </c>
      <c r="K10">
        <v>0.17</v>
      </c>
      <c r="L10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0">
        <v>0</v>
      </c>
      <c r="N10">
        <v>0</v>
      </c>
      <c r="O10">
        <v>0</v>
      </c>
      <c r="P10">
        <v>47108.068500000001</v>
      </c>
      <c r="Q10">
        <v>122298</v>
      </c>
      <c r="R10">
        <f>(Granger_Inventory[[#This Row],[ln_acres]]*Granger_Inventory[[#This Row],[coeff]])+Granger_Inventory[[#This Row],[const]]</f>
        <v>38824.535711229546</v>
      </c>
      <c r="S10" t="s">
        <v>56</v>
      </c>
      <c r="T10">
        <v>1</v>
      </c>
      <c r="U10" t="s">
        <v>57</v>
      </c>
      <c r="V10" t="s">
        <v>58</v>
      </c>
      <c r="W10">
        <v>0</v>
      </c>
      <c r="X10">
        <v>0</v>
      </c>
      <c r="Y10">
        <v>10</v>
      </c>
      <c r="Z10">
        <v>10</v>
      </c>
      <c r="AA10">
        <v>10</v>
      </c>
      <c r="AB10">
        <v>1500</v>
      </c>
      <c r="AC10">
        <v>1420</v>
      </c>
      <c r="AD10">
        <v>1420</v>
      </c>
      <c r="AE10">
        <v>0</v>
      </c>
      <c r="AF10">
        <v>0</v>
      </c>
      <c r="AG10">
        <v>0</v>
      </c>
      <c r="AH10">
        <v>0</v>
      </c>
      <c r="AI10">
        <v>442</v>
      </c>
      <c r="AJ10">
        <v>0</v>
      </c>
      <c r="AK10">
        <v>0</v>
      </c>
      <c r="AL10">
        <v>0</v>
      </c>
      <c r="AM10">
        <v>120</v>
      </c>
      <c r="AN10">
        <v>0</v>
      </c>
      <c r="AO10">
        <v>0</v>
      </c>
      <c r="AP10">
        <v>8</v>
      </c>
      <c r="AQ10">
        <v>0</v>
      </c>
      <c r="AR10">
        <v>0</v>
      </c>
      <c r="AS10" t="s">
        <v>59</v>
      </c>
      <c r="AT10">
        <v>1</v>
      </c>
      <c r="AU10" t="s">
        <v>60</v>
      </c>
      <c r="AV10" t="s">
        <v>65</v>
      </c>
      <c r="AW10">
        <v>1</v>
      </c>
      <c r="AX10">
        <v>4</v>
      </c>
      <c r="AY10">
        <v>0</v>
      </c>
      <c r="AZ10">
        <v>0</v>
      </c>
      <c r="BA10">
        <v>100</v>
      </c>
      <c r="BB10">
        <v>100</v>
      </c>
      <c r="BC10">
        <v>100</v>
      </c>
      <c r="BD10">
        <v>100</v>
      </c>
      <c r="BE10">
        <v>1</v>
      </c>
      <c r="BF10">
        <v>15000</v>
      </c>
      <c r="BG10">
        <v>1000</v>
      </c>
      <c r="BH10" s="8">
        <f>Granger_Inventory[[#This Row],[land_extract]]*Lookups!$B$3</f>
        <v>23128.971718879347</v>
      </c>
      <c r="BI10" s="8">
        <f>IF(Granger_Inventory[[#This Row],[bldg_style]]="",0,Lookups!$B$2)</f>
        <v>29703.559000000001</v>
      </c>
      <c r="BJ10" s="8">
        <f>_xlfn.IFNA(VLOOKUP(Granger_Inventory[[#This Row],[quality]],Lookups!$H$2:$J$14,3,FALSE),0)</f>
        <v>56414</v>
      </c>
      <c r="BK10" s="8">
        <f>_xlfn.IFNA(VLOOKUP(Granger_Inventory[[#This Row],[condition]],Lookups!$H$17:$J$24,3,FALSE),0)</f>
        <v>101774</v>
      </c>
      <c r="BL10" s="8">
        <f>Granger_Inventory[[#This Row],[Age]]*Lookups!$B$16</f>
        <v>-2073.3109999999997</v>
      </c>
      <c r="BM10" s="8">
        <f>Granger_Inventory[[#This Row],[living_area]]*Lookups!$B$17</f>
        <v>95527.530780000001</v>
      </c>
      <c r="BN10" s="8">
        <f>(Granger_Inventory[[#This Row],[att_gar]]+Granger_Inventory[[#This Row],[blt_gar]])*Lookups!$B$18</f>
        <v>21413.833011999999</v>
      </c>
      <c r="BO10" s="8">
        <f>Granger_Inventory[[#This Row],[Patio]]*Lookups!$B$19</f>
        <v>6517.8115199999993</v>
      </c>
      <c r="BP10" s="8">
        <f>SUM(Granger_Inventory[[#This Row],[Intercept]:[Patio_Value]])*Granger_Inventory[[#This Row],[res_pct]]</f>
        <v>309277.42331200006</v>
      </c>
      <c r="BQ10" s="8">
        <f>Granger_Inventory[[#This Row],[land_value]]</f>
        <v>23128.971718879347</v>
      </c>
      <c r="BR10" s="4">
        <f>_xlfn.IFNA(VLOOKUP(Granger_Inventory[[#This Row],[quality]],Lookups!$A$25:$C$35,3,FALSE),1)</f>
        <v>0.98791809110152173</v>
      </c>
      <c r="BS10" s="4">
        <f>_xlfn.IFNA(VLOOKUP(Granger_Inventory[[#This Row],[condition]],Lookups!$A$38:$C$45,3,FALSE),1)</f>
        <v>0.99135053432734199</v>
      </c>
      <c r="BT10" s="4">
        <f>IF(Granger_Inventory[[#This Row],[decade]]="",1,_xlfn.IFNA(VLOOKUP(Granger_Inventory[[#This Row],[decade]],Lookups!$G$28:$I$42,3,FALSE),1))</f>
        <v>0.95532362136731586</v>
      </c>
      <c r="BU10" s="4">
        <f>_xlfn.IFNA(VLOOKUP(Granger_Inventory[[#This Row],[living_area_range]],Lookups!$A$48:$C$57,3,FALSE),1)</f>
        <v>0.97960506760539345</v>
      </c>
      <c r="BV10" s="4">
        <f>AVERAGE(Granger_Inventory[[#This Row],[qual_adj]:[living_range_adj]])</f>
        <v>0.97854932860039323</v>
      </c>
      <c r="BW10" s="8">
        <f>(Granger_Inventory[[#This Row],[sum_land]]-IF(Granger_Inventory[[#This Row],[no_utilities]]=1,12000,0))/IF(Granger_Inventory[[#This Row],[unbuildable]]=1,2,1)</f>
        <v>23128.971718879347</v>
      </c>
      <c r="BX10" s="8">
        <f>Granger_Inventory[[#This Row],[pre_res]]*Granger_Inventory[[#This Row],[overall_adj]]</f>
        <v>302643.21493321727</v>
      </c>
      <c r="BY10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0">
        <f>ROUND(Granger_Inventory[[#This Row],[detatched_value]]*Lookups!$I$45,-2)</f>
        <v>0</v>
      </c>
      <c r="CA10">
        <f>IF(ROUND(Granger_Inventory[[#This Row],[adj_res]]*Lookups!$I$45,-2)&lt;Granger_Inventory[[#This Row],[min_res]],Granger_Inventory[[#This Row],[min_res]],ROUND(Granger_Inventory[[#This Row],[adj_res]]*Lookups!$I$45,-2))</f>
        <v>287500</v>
      </c>
      <c r="CB10">
        <f>Granger_Inventory[[#This Row],[final_det]]+Granger_Inventory[[#This Row],[final_res]]</f>
        <v>287500</v>
      </c>
      <c r="CC10">
        <f>Granger_Inventory[[#This Row],[final_land]]+Granger_Inventory[[#This Row],[final_imp]]+Granger_Inventory[[#This Row],[crop_value]]</f>
        <v>309500</v>
      </c>
      <c r="CE10" t="str">
        <f t="shared" si="0"/>
        <v>update valuation set market_land =22000, market_bldg=287500, market_total =309500, market_mdno =402, market_date ='9/10/2023' where link_id = (select link_id from parcel where parcel_year = '2024' and parcel_id = '21101531408');</v>
      </c>
    </row>
    <row r="11" spans="1:84" x14ac:dyDescent="0.25">
      <c r="A11">
        <v>21101531409</v>
      </c>
      <c r="B11">
        <v>0.17</v>
      </c>
      <c r="C11">
        <v>7270</v>
      </c>
      <c r="D11" t="s">
        <v>137</v>
      </c>
      <c r="E11" t="s">
        <v>54</v>
      </c>
      <c r="F11" t="s">
        <v>54</v>
      </c>
      <c r="G11">
        <v>3</v>
      </c>
      <c r="H11" t="s">
        <v>55</v>
      </c>
      <c r="I11">
        <v>297300</v>
      </c>
      <c r="J11">
        <v>27100</v>
      </c>
      <c r="K11">
        <v>0.17</v>
      </c>
      <c r="L11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1">
        <v>0</v>
      </c>
      <c r="N11">
        <v>0</v>
      </c>
      <c r="O11">
        <v>0</v>
      </c>
      <c r="P11">
        <v>47108.068500000001</v>
      </c>
      <c r="Q11">
        <v>122298</v>
      </c>
      <c r="R11">
        <f>(Granger_Inventory[[#This Row],[ln_acres]]*Granger_Inventory[[#This Row],[coeff]])+Granger_Inventory[[#This Row],[const]]</f>
        <v>38824.535711229546</v>
      </c>
      <c r="S11" t="s">
        <v>56</v>
      </c>
      <c r="T11">
        <v>1</v>
      </c>
      <c r="U11" t="s">
        <v>57</v>
      </c>
      <c r="V11" t="s">
        <v>58</v>
      </c>
      <c r="W11">
        <v>0</v>
      </c>
      <c r="X11">
        <v>0</v>
      </c>
      <c r="Y11">
        <v>9</v>
      </c>
      <c r="Z11">
        <v>9</v>
      </c>
      <c r="AA11">
        <v>10</v>
      </c>
      <c r="AB11">
        <v>1500</v>
      </c>
      <c r="AC11">
        <v>1420</v>
      </c>
      <c r="AD11">
        <v>1420</v>
      </c>
      <c r="AE11">
        <v>0</v>
      </c>
      <c r="AF11">
        <v>0</v>
      </c>
      <c r="AG11">
        <v>0</v>
      </c>
      <c r="AH11">
        <v>0</v>
      </c>
      <c r="AI11">
        <v>442</v>
      </c>
      <c r="AJ11">
        <v>0</v>
      </c>
      <c r="AK11">
        <v>0</v>
      </c>
      <c r="AL11">
        <v>0</v>
      </c>
      <c r="AM11">
        <v>50</v>
      </c>
      <c r="AN11">
        <v>0</v>
      </c>
      <c r="AO11">
        <v>0</v>
      </c>
      <c r="AP11">
        <v>8</v>
      </c>
      <c r="AQ11">
        <v>0</v>
      </c>
      <c r="AR11">
        <v>0</v>
      </c>
      <c r="AS11" t="s">
        <v>59</v>
      </c>
      <c r="AT11">
        <v>1</v>
      </c>
      <c r="AU11" t="s">
        <v>60</v>
      </c>
      <c r="AV11" t="s">
        <v>65</v>
      </c>
      <c r="AW11">
        <v>1</v>
      </c>
      <c r="AX11">
        <v>4</v>
      </c>
      <c r="AY11">
        <v>0</v>
      </c>
      <c r="AZ11">
        <v>0</v>
      </c>
      <c r="BA11">
        <v>100</v>
      </c>
      <c r="BB11">
        <v>100</v>
      </c>
      <c r="BC11">
        <v>100</v>
      </c>
      <c r="BD11">
        <v>100</v>
      </c>
      <c r="BE11">
        <v>1</v>
      </c>
      <c r="BF11">
        <v>15000</v>
      </c>
      <c r="BG11">
        <v>1000</v>
      </c>
      <c r="BH11" s="8">
        <f>Granger_Inventory[[#This Row],[land_extract]]*Lookups!$B$3</f>
        <v>23128.971718879347</v>
      </c>
      <c r="BI11" s="8">
        <f>IF(Granger_Inventory[[#This Row],[bldg_style]]="",0,Lookups!$B$2)</f>
        <v>29703.559000000001</v>
      </c>
      <c r="BJ11" s="8">
        <f>_xlfn.IFNA(VLOOKUP(Granger_Inventory[[#This Row],[quality]],Lookups!$H$2:$J$14,3,FALSE),0)</f>
        <v>56414</v>
      </c>
      <c r="BK11" s="8">
        <f>_xlfn.IFNA(VLOOKUP(Granger_Inventory[[#This Row],[condition]],Lookups!$H$17:$J$24,3,FALSE),0)</f>
        <v>101774</v>
      </c>
      <c r="BL11" s="8">
        <f>Granger_Inventory[[#This Row],[Age]]*Lookups!$B$16</f>
        <v>-1865.9798999999998</v>
      </c>
      <c r="BM11" s="8">
        <f>Granger_Inventory[[#This Row],[living_area]]*Lookups!$B$17</f>
        <v>95527.530780000001</v>
      </c>
      <c r="BN11" s="8">
        <f>(Granger_Inventory[[#This Row],[att_gar]]+Granger_Inventory[[#This Row],[blt_gar]])*Lookups!$B$18</f>
        <v>21413.833011999999</v>
      </c>
      <c r="BO11" s="8">
        <f>Granger_Inventory[[#This Row],[Patio]]*Lookups!$B$19</f>
        <v>2715.7547999999997</v>
      </c>
      <c r="BP11" s="8">
        <f>SUM(Granger_Inventory[[#This Row],[Intercept]:[Patio_Value]])*Granger_Inventory[[#This Row],[res_pct]]</f>
        <v>305682.69769200002</v>
      </c>
      <c r="BQ11" s="8">
        <f>Granger_Inventory[[#This Row],[land_value]]</f>
        <v>23128.971718879347</v>
      </c>
      <c r="BR11" s="4">
        <f>_xlfn.IFNA(VLOOKUP(Granger_Inventory[[#This Row],[quality]],Lookups!$A$25:$C$35,3,FALSE),1)</f>
        <v>0.98791809110152173</v>
      </c>
      <c r="BS11" s="4">
        <f>_xlfn.IFNA(VLOOKUP(Granger_Inventory[[#This Row],[condition]],Lookups!$A$38:$C$45,3,FALSE),1)</f>
        <v>0.99135053432734199</v>
      </c>
      <c r="BT11" s="4">
        <f>IF(Granger_Inventory[[#This Row],[decade]]="",1,_xlfn.IFNA(VLOOKUP(Granger_Inventory[[#This Row],[decade]],Lookups!$G$28:$I$42,3,FALSE),1))</f>
        <v>0.95532362136731586</v>
      </c>
      <c r="BU11" s="4">
        <f>_xlfn.IFNA(VLOOKUP(Granger_Inventory[[#This Row],[living_area_range]],Lookups!$A$48:$C$57,3,FALSE),1)</f>
        <v>0.97960506760539345</v>
      </c>
      <c r="BV11" s="4">
        <f>AVERAGE(Granger_Inventory[[#This Row],[qual_adj]:[living_range_adj]])</f>
        <v>0.97854932860039323</v>
      </c>
      <c r="BW11" s="8">
        <f>(Granger_Inventory[[#This Row],[sum_land]]-IF(Granger_Inventory[[#This Row],[no_utilities]]=1,12000,0))/IF(Granger_Inventory[[#This Row],[unbuildable]]=1,2,1)</f>
        <v>23128.971718879347</v>
      </c>
      <c r="BX11" s="8">
        <f>Granger_Inventory[[#This Row],[pre_res]]*Granger_Inventory[[#This Row],[overall_adj]]</f>
        <v>299125.59859126358</v>
      </c>
      <c r="BY11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1">
        <f>ROUND(Granger_Inventory[[#This Row],[detatched_value]]*Lookups!$I$45,-2)</f>
        <v>0</v>
      </c>
      <c r="CA11">
        <f>IF(ROUND(Granger_Inventory[[#This Row],[adj_res]]*Lookups!$I$45,-2)&lt;Granger_Inventory[[#This Row],[min_res]],Granger_Inventory[[#This Row],[min_res]],ROUND(Granger_Inventory[[#This Row],[adj_res]]*Lookups!$I$45,-2))</f>
        <v>284200</v>
      </c>
      <c r="CB11">
        <f>Granger_Inventory[[#This Row],[final_det]]+Granger_Inventory[[#This Row],[final_res]]</f>
        <v>284200</v>
      </c>
      <c r="CC11">
        <f>Granger_Inventory[[#This Row],[final_land]]+Granger_Inventory[[#This Row],[final_imp]]+Granger_Inventory[[#This Row],[crop_value]]</f>
        <v>306200</v>
      </c>
      <c r="CE11" t="str">
        <f t="shared" si="0"/>
        <v>update valuation set market_land =22000, market_bldg=284200, market_total =306200, market_mdno =402, market_date ='9/10/2023' where link_id = (select link_id from parcel where parcel_year = '2024' and parcel_id = '21101531409');</v>
      </c>
    </row>
    <row r="12" spans="1:84" x14ac:dyDescent="0.25">
      <c r="A12">
        <v>21101531410</v>
      </c>
      <c r="B12">
        <v>0.16</v>
      </c>
      <c r="C12">
        <v>6804</v>
      </c>
      <c r="D12" t="s">
        <v>137</v>
      </c>
      <c r="E12" t="s">
        <v>54</v>
      </c>
      <c r="F12" t="s">
        <v>54</v>
      </c>
      <c r="G12">
        <v>3</v>
      </c>
      <c r="H12" t="s">
        <v>55</v>
      </c>
      <c r="I12">
        <v>250000</v>
      </c>
      <c r="J12">
        <v>26700</v>
      </c>
      <c r="K12">
        <v>0.16</v>
      </c>
      <c r="L1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12">
        <v>0</v>
      </c>
      <c r="N12">
        <v>0</v>
      </c>
      <c r="O12">
        <v>0</v>
      </c>
      <c r="P12">
        <v>47108.068500000001</v>
      </c>
      <c r="Q12">
        <v>122298</v>
      </c>
      <c r="R12">
        <f>(Granger_Inventory[[#This Row],[ln_acres]]*Granger_Inventory[[#This Row],[coeff]])+Granger_Inventory[[#This Row],[const]]</f>
        <v>35968.626873914327</v>
      </c>
      <c r="S12" t="s">
        <v>56</v>
      </c>
      <c r="T12">
        <v>1</v>
      </c>
      <c r="U12" t="s">
        <v>57</v>
      </c>
      <c r="V12" t="s">
        <v>58</v>
      </c>
      <c r="W12">
        <v>0</v>
      </c>
      <c r="X12">
        <v>0</v>
      </c>
      <c r="Y12">
        <v>9</v>
      </c>
      <c r="Z12">
        <v>9</v>
      </c>
      <c r="AA12">
        <v>10</v>
      </c>
      <c r="AB12">
        <v>1500</v>
      </c>
      <c r="AC12">
        <v>1124</v>
      </c>
      <c r="AD12">
        <v>1124</v>
      </c>
      <c r="AE12">
        <v>0</v>
      </c>
      <c r="AF12">
        <v>0</v>
      </c>
      <c r="AG12">
        <v>0</v>
      </c>
      <c r="AH12">
        <v>0</v>
      </c>
      <c r="AI12">
        <v>420</v>
      </c>
      <c r="AJ12">
        <v>0</v>
      </c>
      <c r="AK12">
        <v>0</v>
      </c>
      <c r="AL12">
        <v>0</v>
      </c>
      <c r="AM12">
        <v>50</v>
      </c>
      <c r="AN12">
        <v>0</v>
      </c>
      <c r="AO12">
        <v>0</v>
      </c>
      <c r="AP12">
        <v>8</v>
      </c>
      <c r="AQ12">
        <v>0</v>
      </c>
      <c r="AR12">
        <v>0</v>
      </c>
      <c r="AS12" t="s">
        <v>59</v>
      </c>
      <c r="AT12">
        <v>1</v>
      </c>
      <c r="AU12" t="s">
        <v>60</v>
      </c>
      <c r="AV12" t="s">
        <v>65</v>
      </c>
      <c r="AW12">
        <v>1</v>
      </c>
      <c r="AX12">
        <v>3</v>
      </c>
      <c r="AY12">
        <v>0</v>
      </c>
      <c r="AZ12">
        <v>0</v>
      </c>
      <c r="BA12">
        <v>100</v>
      </c>
      <c r="BB12">
        <v>100</v>
      </c>
      <c r="BC12">
        <v>100</v>
      </c>
      <c r="BD12">
        <v>100</v>
      </c>
      <c r="BE12">
        <v>1</v>
      </c>
      <c r="BF12">
        <v>15000</v>
      </c>
      <c r="BG12">
        <v>1000</v>
      </c>
      <c r="BH12" s="8">
        <f>Granger_Inventory[[#This Row],[land_extract]]*Lookups!$B$3</f>
        <v>21427.618862498482</v>
      </c>
      <c r="BI12" s="8">
        <f>IF(Granger_Inventory[[#This Row],[bldg_style]]="",0,Lookups!$B$2)</f>
        <v>29703.559000000001</v>
      </c>
      <c r="BJ12" s="8">
        <f>_xlfn.IFNA(VLOOKUP(Granger_Inventory[[#This Row],[quality]],Lookups!$H$2:$J$14,3,FALSE),0)</f>
        <v>56414</v>
      </c>
      <c r="BK12" s="8">
        <f>_xlfn.IFNA(VLOOKUP(Granger_Inventory[[#This Row],[condition]],Lookups!$H$17:$J$24,3,FALSE),0)</f>
        <v>101774</v>
      </c>
      <c r="BL12" s="8">
        <f>Granger_Inventory[[#This Row],[Age]]*Lookups!$B$16</f>
        <v>-1865.9798999999998</v>
      </c>
      <c r="BM12" s="8">
        <f>Granger_Inventory[[#This Row],[living_area]]*Lookups!$B$17</f>
        <v>75614.749715999991</v>
      </c>
      <c r="BN12" s="8">
        <f>(Granger_Inventory[[#This Row],[att_gar]]+Granger_Inventory[[#This Row],[blt_gar]])*Lookups!$B$18</f>
        <v>20347.986120000001</v>
      </c>
      <c r="BO12" s="8">
        <f>Granger_Inventory[[#This Row],[Patio]]*Lookups!$B$19</f>
        <v>2715.7547999999997</v>
      </c>
      <c r="BP12" s="8">
        <f>SUM(Granger_Inventory[[#This Row],[Intercept]:[Patio_Value]])*Granger_Inventory[[#This Row],[res_pct]]</f>
        <v>284704.06973599998</v>
      </c>
      <c r="BQ12" s="8">
        <f>Granger_Inventory[[#This Row],[land_value]]</f>
        <v>21427.618862498482</v>
      </c>
      <c r="BR12" s="4">
        <f>_xlfn.IFNA(VLOOKUP(Granger_Inventory[[#This Row],[quality]],Lookups!$A$25:$C$35,3,FALSE),1)</f>
        <v>0.98791809110152173</v>
      </c>
      <c r="BS12" s="4">
        <f>_xlfn.IFNA(VLOOKUP(Granger_Inventory[[#This Row],[condition]],Lookups!$A$38:$C$45,3,FALSE),1)</f>
        <v>0.99135053432734199</v>
      </c>
      <c r="BT12" s="4">
        <f>IF(Granger_Inventory[[#This Row],[decade]]="",1,_xlfn.IFNA(VLOOKUP(Granger_Inventory[[#This Row],[decade]],Lookups!$G$28:$I$42,3,FALSE),1))</f>
        <v>0.95532362136731586</v>
      </c>
      <c r="BU12" s="4">
        <f>_xlfn.IFNA(VLOOKUP(Granger_Inventory[[#This Row],[living_area_range]],Lookups!$A$48:$C$57,3,FALSE),1)</f>
        <v>0.97960506760539345</v>
      </c>
      <c r="BV12" s="4">
        <f>AVERAGE(Granger_Inventory[[#This Row],[qual_adj]:[living_range_adj]])</f>
        <v>0.97854932860039323</v>
      </c>
      <c r="BW12" s="8">
        <f>(Granger_Inventory[[#This Row],[sum_land]]-IF(Granger_Inventory[[#This Row],[no_utilities]]=1,12000,0))/IF(Granger_Inventory[[#This Row],[unbuildable]]=1,2,1)</f>
        <v>21427.618862498482</v>
      </c>
      <c r="BX12" s="8">
        <f>Granger_Inventory[[#This Row],[pre_res]]*Granger_Inventory[[#This Row],[overall_adj]]</f>
        <v>278596.9762899623</v>
      </c>
      <c r="BY1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12">
        <f>ROUND(Granger_Inventory[[#This Row],[detatched_value]]*Lookups!$I$45,-2)</f>
        <v>0</v>
      </c>
      <c r="CA12">
        <f>IF(ROUND(Granger_Inventory[[#This Row],[adj_res]]*Lookups!$I$45,-2)&lt;Granger_Inventory[[#This Row],[min_res]],Granger_Inventory[[#This Row],[min_res]],ROUND(Granger_Inventory[[#This Row],[adj_res]]*Lookups!$I$45,-2))</f>
        <v>264700</v>
      </c>
      <c r="CB12">
        <f>Granger_Inventory[[#This Row],[final_det]]+Granger_Inventory[[#This Row],[final_res]]</f>
        <v>264700</v>
      </c>
      <c r="CC12">
        <f>Granger_Inventory[[#This Row],[final_land]]+Granger_Inventory[[#This Row],[final_imp]]+Granger_Inventory[[#This Row],[crop_value]]</f>
        <v>285100</v>
      </c>
      <c r="CE12" t="str">
        <f t="shared" si="0"/>
        <v>update valuation set market_land =20400, market_bldg=264700, market_total =285100, market_mdno =402, market_date ='9/10/2023' where link_id = (select link_id from parcel where parcel_year = '2024' and parcel_id = '21101531410');</v>
      </c>
    </row>
    <row r="13" spans="1:84" x14ac:dyDescent="0.25">
      <c r="A13">
        <v>21101531411</v>
      </c>
      <c r="B13">
        <v>0.17</v>
      </c>
      <c r="C13">
        <v>7191</v>
      </c>
      <c r="D13" t="s">
        <v>137</v>
      </c>
      <c r="E13" t="s">
        <v>54</v>
      </c>
      <c r="F13" t="s">
        <v>54</v>
      </c>
      <c r="G13">
        <v>3</v>
      </c>
      <c r="H13" t="s">
        <v>55</v>
      </c>
      <c r="I13">
        <v>276000</v>
      </c>
      <c r="J13">
        <v>27100</v>
      </c>
      <c r="K13">
        <v>0.17</v>
      </c>
      <c r="L1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3">
        <v>0</v>
      </c>
      <c r="N13">
        <v>0</v>
      </c>
      <c r="O13">
        <v>0</v>
      </c>
      <c r="P13">
        <v>47108.068500000001</v>
      </c>
      <c r="Q13">
        <v>122298</v>
      </c>
      <c r="R13">
        <f>(Granger_Inventory[[#This Row],[ln_acres]]*Granger_Inventory[[#This Row],[coeff]])+Granger_Inventory[[#This Row],[const]]</f>
        <v>38824.535711229546</v>
      </c>
      <c r="S13" t="s">
        <v>56</v>
      </c>
      <c r="T13">
        <v>1</v>
      </c>
      <c r="U13" t="s">
        <v>57</v>
      </c>
      <c r="V13" t="s">
        <v>58</v>
      </c>
      <c r="W13">
        <v>0</v>
      </c>
      <c r="X13">
        <v>0</v>
      </c>
      <c r="Y13">
        <v>9</v>
      </c>
      <c r="Z13">
        <v>9</v>
      </c>
      <c r="AA13">
        <v>10</v>
      </c>
      <c r="AB13">
        <v>1500</v>
      </c>
      <c r="AC13">
        <v>1420</v>
      </c>
      <c r="AD13">
        <v>1420</v>
      </c>
      <c r="AE13">
        <v>0</v>
      </c>
      <c r="AF13">
        <v>0</v>
      </c>
      <c r="AG13">
        <v>0</v>
      </c>
      <c r="AH13">
        <v>0</v>
      </c>
      <c r="AI13">
        <v>442</v>
      </c>
      <c r="AJ13">
        <v>0</v>
      </c>
      <c r="AK13">
        <v>0</v>
      </c>
      <c r="AL13">
        <v>0</v>
      </c>
      <c r="AM13">
        <v>50</v>
      </c>
      <c r="AN13">
        <v>0</v>
      </c>
      <c r="AO13">
        <v>0</v>
      </c>
      <c r="AP13">
        <v>9</v>
      </c>
      <c r="AQ13">
        <v>0</v>
      </c>
      <c r="AR13">
        <v>0</v>
      </c>
      <c r="AS13" t="s">
        <v>59</v>
      </c>
      <c r="AT13">
        <v>1</v>
      </c>
      <c r="AU13" t="s">
        <v>60</v>
      </c>
      <c r="AV13" t="s">
        <v>65</v>
      </c>
      <c r="AW13">
        <v>1</v>
      </c>
      <c r="AX13">
        <v>3</v>
      </c>
      <c r="AY13">
        <v>0</v>
      </c>
      <c r="AZ13">
        <v>0</v>
      </c>
      <c r="BA13">
        <v>100</v>
      </c>
      <c r="BB13">
        <v>100</v>
      </c>
      <c r="BC13">
        <v>100</v>
      </c>
      <c r="BD13">
        <v>100</v>
      </c>
      <c r="BE13">
        <v>1</v>
      </c>
      <c r="BF13">
        <v>15000</v>
      </c>
      <c r="BG13">
        <v>1000</v>
      </c>
      <c r="BH13" s="8">
        <f>Granger_Inventory[[#This Row],[land_extract]]*Lookups!$B$3</f>
        <v>23128.971718879347</v>
      </c>
      <c r="BI13" s="8">
        <f>IF(Granger_Inventory[[#This Row],[bldg_style]]="",0,Lookups!$B$2)</f>
        <v>29703.559000000001</v>
      </c>
      <c r="BJ13" s="8">
        <f>_xlfn.IFNA(VLOOKUP(Granger_Inventory[[#This Row],[quality]],Lookups!$H$2:$J$14,3,FALSE),0)</f>
        <v>56414</v>
      </c>
      <c r="BK13" s="8">
        <f>_xlfn.IFNA(VLOOKUP(Granger_Inventory[[#This Row],[condition]],Lookups!$H$17:$J$24,3,FALSE),0)</f>
        <v>101774</v>
      </c>
      <c r="BL13" s="8">
        <f>Granger_Inventory[[#This Row],[Age]]*Lookups!$B$16</f>
        <v>-1865.9798999999998</v>
      </c>
      <c r="BM13" s="8">
        <f>Granger_Inventory[[#This Row],[living_area]]*Lookups!$B$17</f>
        <v>95527.530780000001</v>
      </c>
      <c r="BN13" s="8">
        <f>(Granger_Inventory[[#This Row],[att_gar]]+Granger_Inventory[[#This Row],[blt_gar]])*Lookups!$B$18</f>
        <v>21413.833011999999</v>
      </c>
      <c r="BO13" s="8">
        <f>Granger_Inventory[[#This Row],[Patio]]*Lookups!$B$19</f>
        <v>2715.7547999999997</v>
      </c>
      <c r="BP13" s="8">
        <f>SUM(Granger_Inventory[[#This Row],[Intercept]:[Patio_Value]])*Granger_Inventory[[#This Row],[res_pct]]</f>
        <v>305682.69769200002</v>
      </c>
      <c r="BQ13" s="8">
        <f>Granger_Inventory[[#This Row],[land_value]]</f>
        <v>23128.971718879347</v>
      </c>
      <c r="BR13" s="4">
        <f>_xlfn.IFNA(VLOOKUP(Granger_Inventory[[#This Row],[quality]],Lookups!$A$25:$C$35,3,FALSE),1)</f>
        <v>0.98791809110152173</v>
      </c>
      <c r="BS13" s="4">
        <f>_xlfn.IFNA(VLOOKUP(Granger_Inventory[[#This Row],[condition]],Lookups!$A$38:$C$45,3,FALSE),1)</f>
        <v>0.99135053432734199</v>
      </c>
      <c r="BT13" s="4">
        <f>IF(Granger_Inventory[[#This Row],[decade]]="",1,_xlfn.IFNA(VLOOKUP(Granger_Inventory[[#This Row],[decade]],Lookups!$G$28:$I$42,3,FALSE),1))</f>
        <v>0.95532362136731586</v>
      </c>
      <c r="BU13" s="4">
        <f>_xlfn.IFNA(VLOOKUP(Granger_Inventory[[#This Row],[living_area_range]],Lookups!$A$48:$C$57,3,FALSE),1)</f>
        <v>0.97960506760539345</v>
      </c>
      <c r="BV13" s="4">
        <f>AVERAGE(Granger_Inventory[[#This Row],[qual_adj]:[living_range_adj]])</f>
        <v>0.97854932860039323</v>
      </c>
      <c r="BW13" s="8">
        <f>(Granger_Inventory[[#This Row],[sum_land]]-IF(Granger_Inventory[[#This Row],[no_utilities]]=1,12000,0))/IF(Granger_Inventory[[#This Row],[unbuildable]]=1,2,1)</f>
        <v>23128.971718879347</v>
      </c>
      <c r="BX13" s="8">
        <f>Granger_Inventory[[#This Row],[pre_res]]*Granger_Inventory[[#This Row],[overall_adj]]</f>
        <v>299125.59859126358</v>
      </c>
      <c r="BY1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3">
        <f>ROUND(Granger_Inventory[[#This Row],[detatched_value]]*Lookups!$I$45,-2)</f>
        <v>0</v>
      </c>
      <c r="CA13">
        <f>IF(ROUND(Granger_Inventory[[#This Row],[adj_res]]*Lookups!$I$45,-2)&lt;Granger_Inventory[[#This Row],[min_res]],Granger_Inventory[[#This Row],[min_res]],ROUND(Granger_Inventory[[#This Row],[adj_res]]*Lookups!$I$45,-2))</f>
        <v>284200</v>
      </c>
      <c r="CB13">
        <f>Granger_Inventory[[#This Row],[final_det]]+Granger_Inventory[[#This Row],[final_res]]</f>
        <v>284200</v>
      </c>
      <c r="CC13">
        <f>Granger_Inventory[[#This Row],[final_land]]+Granger_Inventory[[#This Row],[final_imp]]+Granger_Inventory[[#This Row],[crop_value]]</f>
        <v>306200</v>
      </c>
      <c r="CE13" t="str">
        <f t="shared" si="0"/>
        <v>update valuation set market_land =22000, market_bldg=284200, market_total =306200, market_mdno =402, market_date ='9/10/2023' where link_id = (select link_id from parcel where parcel_year = '2024' and parcel_id = '21101531411');</v>
      </c>
    </row>
    <row r="14" spans="1:84" x14ac:dyDescent="0.25">
      <c r="A14">
        <v>21101531412</v>
      </c>
      <c r="B14">
        <v>0.17</v>
      </c>
      <c r="C14">
        <v>7219</v>
      </c>
      <c r="D14" t="s">
        <v>137</v>
      </c>
      <c r="E14" t="s">
        <v>54</v>
      </c>
      <c r="F14" t="s">
        <v>54</v>
      </c>
      <c r="G14">
        <v>3</v>
      </c>
      <c r="H14" t="s">
        <v>55</v>
      </c>
      <c r="I14">
        <v>257500</v>
      </c>
      <c r="J14">
        <v>27100</v>
      </c>
      <c r="K14">
        <v>0.17</v>
      </c>
      <c r="L14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4">
        <v>0</v>
      </c>
      <c r="N14">
        <v>0</v>
      </c>
      <c r="O14">
        <v>0</v>
      </c>
      <c r="P14">
        <v>47108.068500000001</v>
      </c>
      <c r="Q14">
        <v>122298</v>
      </c>
      <c r="R14">
        <f>(Granger_Inventory[[#This Row],[ln_acres]]*Granger_Inventory[[#This Row],[coeff]])+Granger_Inventory[[#This Row],[const]]</f>
        <v>38824.535711229546</v>
      </c>
      <c r="S14" t="s">
        <v>62</v>
      </c>
      <c r="T14">
        <v>2</v>
      </c>
      <c r="U14" t="s">
        <v>64</v>
      </c>
      <c r="V14" t="s">
        <v>58</v>
      </c>
      <c r="W14">
        <v>0</v>
      </c>
      <c r="X14">
        <v>0</v>
      </c>
      <c r="Y14">
        <v>9</v>
      </c>
      <c r="Z14">
        <v>9</v>
      </c>
      <c r="AA14">
        <v>10</v>
      </c>
      <c r="AB14">
        <v>1500</v>
      </c>
      <c r="AC14">
        <v>1276</v>
      </c>
      <c r="AD14">
        <v>638</v>
      </c>
      <c r="AE14">
        <v>638</v>
      </c>
      <c r="AF14">
        <v>0</v>
      </c>
      <c r="AG14">
        <v>0</v>
      </c>
      <c r="AH14">
        <v>0</v>
      </c>
      <c r="AI14">
        <v>460</v>
      </c>
      <c r="AJ14">
        <v>0</v>
      </c>
      <c r="AK14">
        <v>0</v>
      </c>
      <c r="AL14">
        <v>0</v>
      </c>
      <c r="AM14">
        <v>40</v>
      </c>
      <c r="AN14">
        <v>40</v>
      </c>
      <c r="AO14">
        <v>0</v>
      </c>
      <c r="AP14">
        <v>8</v>
      </c>
      <c r="AQ14">
        <v>0</v>
      </c>
      <c r="AR14">
        <v>0</v>
      </c>
      <c r="AS14" t="s">
        <v>59</v>
      </c>
      <c r="AT14">
        <v>1</v>
      </c>
      <c r="AU14" t="s">
        <v>60</v>
      </c>
      <c r="AV14" t="s">
        <v>65</v>
      </c>
      <c r="AW14">
        <v>1</v>
      </c>
      <c r="AX14">
        <v>3</v>
      </c>
      <c r="AY14">
        <v>0</v>
      </c>
      <c r="AZ14">
        <v>0</v>
      </c>
      <c r="BA14">
        <v>100</v>
      </c>
      <c r="BB14">
        <v>100</v>
      </c>
      <c r="BC14">
        <v>100</v>
      </c>
      <c r="BD14">
        <v>100</v>
      </c>
      <c r="BE14">
        <v>1</v>
      </c>
      <c r="BF14">
        <v>15000</v>
      </c>
      <c r="BG14">
        <v>1000</v>
      </c>
      <c r="BH14" s="8">
        <f>Granger_Inventory[[#This Row],[land_extract]]*Lookups!$B$3</f>
        <v>23128.971718879347</v>
      </c>
      <c r="BI14" s="8">
        <f>IF(Granger_Inventory[[#This Row],[bldg_style]]="",0,Lookups!$B$2)</f>
        <v>29703.559000000001</v>
      </c>
      <c r="BJ14" s="8">
        <f>_xlfn.IFNA(VLOOKUP(Granger_Inventory[[#This Row],[quality]],Lookups!$H$2:$J$14,3,FALSE),0)</f>
        <v>36568</v>
      </c>
      <c r="BK14" s="8">
        <f>_xlfn.IFNA(VLOOKUP(Granger_Inventory[[#This Row],[condition]],Lookups!$H$17:$J$24,3,FALSE),0)</f>
        <v>101774</v>
      </c>
      <c r="BL14" s="8">
        <f>Granger_Inventory[[#This Row],[Age]]*Lookups!$B$16</f>
        <v>-1865.9798999999998</v>
      </c>
      <c r="BM14" s="8">
        <f>Granger_Inventory[[#This Row],[living_area]]*Lookups!$B$17</f>
        <v>85840.231883999993</v>
      </c>
      <c r="BN14" s="8">
        <f>(Granger_Inventory[[#This Row],[att_gar]]+Granger_Inventory[[#This Row],[blt_gar]])*Lookups!$B$18</f>
        <v>22285.88956</v>
      </c>
      <c r="BO14" s="8">
        <f>Granger_Inventory[[#This Row],[Patio]]*Lookups!$B$19</f>
        <v>2172.6038399999998</v>
      </c>
      <c r="BP14" s="8">
        <f>SUM(Granger_Inventory[[#This Row],[Intercept]:[Patio_Value]])*Granger_Inventory[[#This Row],[res_pct]]</f>
        <v>276478.30438399996</v>
      </c>
      <c r="BQ14" s="8">
        <f>Granger_Inventory[[#This Row],[land_value]]</f>
        <v>23128.971718879347</v>
      </c>
      <c r="BR14" s="4">
        <f>_xlfn.IFNA(VLOOKUP(Granger_Inventory[[#This Row],[quality]],Lookups!$A$25:$C$35,3,FALSE),1)</f>
        <v>0.99049976351917957</v>
      </c>
      <c r="BS14" s="4">
        <f>_xlfn.IFNA(VLOOKUP(Granger_Inventory[[#This Row],[condition]],Lookups!$A$38:$C$45,3,FALSE),1)</f>
        <v>0.99135053432734199</v>
      </c>
      <c r="BT14" s="4">
        <f>IF(Granger_Inventory[[#This Row],[decade]]="",1,_xlfn.IFNA(VLOOKUP(Granger_Inventory[[#This Row],[decade]],Lookups!$G$28:$I$42,3,FALSE),1))</f>
        <v>0.95532362136731586</v>
      </c>
      <c r="BU14" s="4">
        <f>_xlfn.IFNA(VLOOKUP(Granger_Inventory[[#This Row],[living_area_range]],Lookups!$A$48:$C$57,3,FALSE),1)</f>
        <v>0.97960506760539345</v>
      </c>
      <c r="BV14" s="4">
        <f>AVERAGE(Granger_Inventory[[#This Row],[qual_adj]:[living_range_adj]])</f>
        <v>0.97919474670480777</v>
      </c>
      <c r="BW14" s="8">
        <f>(Granger_Inventory[[#This Row],[sum_land]]-IF(Granger_Inventory[[#This Row],[no_utilities]]=1,12000,0))/IF(Granger_Inventory[[#This Row],[unbuildable]]=1,2,1)</f>
        <v>23128.971718879347</v>
      </c>
      <c r="BX14" s="8">
        <f>Granger_Inventory[[#This Row],[pre_res]]*Granger_Inventory[[#This Row],[overall_adj]]</f>
        <v>270726.10323066561</v>
      </c>
      <c r="BY14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4">
        <f>ROUND(Granger_Inventory[[#This Row],[detatched_value]]*Lookups!$I$45,-2)</f>
        <v>0</v>
      </c>
      <c r="CA14">
        <f>IF(ROUND(Granger_Inventory[[#This Row],[adj_res]]*Lookups!$I$45,-2)&lt;Granger_Inventory[[#This Row],[min_res]],Granger_Inventory[[#This Row],[min_res]],ROUND(Granger_Inventory[[#This Row],[adj_res]]*Lookups!$I$45,-2))</f>
        <v>257200</v>
      </c>
      <c r="CB14">
        <f>Granger_Inventory[[#This Row],[final_det]]+Granger_Inventory[[#This Row],[final_res]]</f>
        <v>257200</v>
      </c>
      <c r="CC14">
        <f>Granger_Inventory[[#This Row],[final_land]]+Granger_Inventory[[#This Row],[final_imp]]+Granger_Inventory[[#This Row],[crop_value]]</f>
        <v>279200</v>
      </c>
      <c r="CE14" t="str">
        <f t="shared" si="0"/>
        <v>update valuation set market_land =22000, market_bldg=257200, market_total =279200, market_mdno =402, market_date ='9/10/2023' where link_id = (select link_id from parcel where parcel_year = '2024' and parcel_id = '21101531412');</v>
      </c>
    </row>
    <row r="15" spans="1:84" x14ac:dyDescent="0.25">
      <c r="A15">
        <v>21101531413</v>
      </c>
      <c r="B15">
        <v>0.17</v>
      </c>
      <c r="C15">
        <v>7269</v>
      </c>
      <c r="D15" t="s">
        <v>137</v>
      </c>
      <c r="E15" t="s">
        <v>54</v>
      </c>
      <c r="F15" t="s">
        <v>54</v>
      </c>
      <c r="G15">
        <v>3</v>
      </c>
      <c r="H15" t="s">
        <v>55</v>
      </c>
      <c r="I15">
        <v>250200</v>
      </c>
      <c r="J15">
        <v>27100</v>
      </c>
      <c r="K15">
        <v>0.17</v>
      </c>
      <c r="L15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5">
        <v>0</v>
      </c>
      <c r="N15">
        <v>0</v>
      </c>
      <c r="O15">
        <v>0</v>
      </c>
      <c r="P15">
        <v>47108.068500000001</v>
      </c>
      <c r="Q15">
        <v>122298</v>
      </c>
      <c r="R15">
        <f>(Granger_Inventory[[#This Row],[ln_acres]]*Granger_Inventory[[#This Row],[coeff]])+Granger_Inventory[[#This Row],[const]]</f>
        <v>38824.535711229546</v>
      </c>
      <c r="S15" t="s">
        <v>56</v>
      </c>
      <c r="T15">
        <v>1</v>
      </c>
      <c r="U15" t="s">
        <v>57</v>
      </c>
      <c r="V15" t="s">
        <v>58</v>
      </c>
      <c r="W15">
        <v>0</v>
      </c>
      <c r="X15">
        <v>0</v>
      </c>
      <c r="Y15">
        <v>10</v>
      </c>
      <c r="Z15">
        <v>10</v>
      </c>
      <c r="AA15">
        <v>10</v>
      </c>
      <c r="AB15">
        <v>1500</v>
      </c>
      <c r="AC15">
        <v>1152</v>
      </c>
      <c r="AD15">
        <v>1152</v>
      </c>
      <c r="AE15">
        <v>0</v>
      </c>
      <c r="AF15">
        <v>0</v>
      </c>
      <c r="AG15">
        <v>0</v>
      </c>
      <c r="AH15">
        <v>0</v>
      </c>
      <c r="AI15">
        <v>400</v>
      </c>
      <c r="AJ15">
        <v>0</v>
      </c>
      <c r="AK15">
        <v>0</v>
      </c>
      <c r="AL15">
        <v>0</v>
      </c>
      <c r="AM15">
        <v>72</v>
      </c>
      <c r="AN15">
        <v>0</v>
      </c>
      <c r="AO15">
        <v>56</v>
      </c>
      <c r="AP15">
        <v>8</v>
      </c>
      <c r="AQ15">
        <v>0</v>
      </c>
      <c r="AR15">
        <v>0</v>
      </c>
      <c r="AS15" t="s">
        <v>59</v>
      </c>
      <c r="AT15">
        <v>1</v>
      </c>
      <c r="AU15" t="s">
        <v>60</v>
      </c>
      <c r="AV15" t="s">
        <v>65</v>
      </c>
      <c r="AW15">
        <v>1</v>
      </c>
      <c r="AX15">
        <v>3</v>
      </c>
      <c r="AY15">
        <v>0</v>
      </c>
      <c r="AZ15">
        <v>0</v>
      </c>
      <c r="BA15">
        <v>100</v>
      </c>
      <c r="BB15">
        <v>100</v>
      </c>
      <c r="BC15">
        <v>100</v>
      </c>
      <c r="BD15">
        <v>100</v>
      </c>
      <c r="BE15">
        <v>1</v>
      </c>
      <c r="BF15">
        <v>15000</v>
      </c>
      <c r="BG15">
        <v>1000</v>
      </c>
      <c r="BH15" s="8">
        <f>Granger_Inventory[[#This Row],[land_extract]]*Lookups!$B$3</f>
        <v>23128.971718879347</v>
      </c>
      <c r="BI15" s="8">
        <f>IF(Granger_Inventory[[#This Row],[bldg_style]]="",0,Lookups!$B$2)</f>
        <v>29703.559000000001</v>
      </c>
      <c r="BJ15" s="8">
        <f>_xlfn.IFNA(VLOOKUP(Granger_Inventory[[#This Row],[quality]],Lookups!$H$2:$J$14,3,FALSE),0)</f>
        <v>56414</v>
      </c>
      <c r="BK15" s="8">
        <f>_xlfn.IFNA(VLOOKUP(Granger_Inventory[[#This Row],[condition]],Lookups!$H$17:$J$24,3,FALSE),0)</f>
        <v>101774</v>
      </c>
      <c r="BL15" s="8">
        <f>Granger_Inventory[[#This Row],[Age]]*Lookups!$B$16</f>
        <v>-2073.3109999999997</v>
      </c>
      <c r="BM15" s="8">
        <f>Granger_Inventory[[#This Row],[living_area]]*Lookups!$B$17</f>
        <v>77498.391168000002</v>
      </c>
      <c r="BN15" s="8">
        <f>(Granger_Inventory[[#This Row],[att_gar]]+Granger_Inventory[[#This Row],[blt_gar]])*Lookups!$B$18</f>
        <v>19379.0344</v>
      </c>
      <c r="BO15" s="8">
        <f>Granger_Inventory[[#This Row],[Patio]]*Lookups!$B$19</f>
        <v>3910.6869119999997</v>
      </c>
      <c r="BP15" s="8">
        <f>SUM(Granger_Inventory[[#This Row],[Intercept]:[Patio_Value]])*Granger_Inventory[[#This Row],[res_pct]]</f>
        <v>286606.36048000003</v>
      </c>
      <c r="BQ15" s="8">
        <f>Granger_Inventory[[#This Row],[land_value]]</f>
        <v>23128.971718879347</v>
      </c>
      <c r="BR15" s="4">
        <f>_xlfn.IFNA(VLOOKUP(Granger_Inventory[[#This Row],[quality]],Lookups!$A$25:$C$35,3,FALSE),1)</f>
        <v>0.98791809110152173</v>
      </c>
      <c r="BS15" s="4">
        <f>_xlfn.IFNA(VLOOKUP(Granger_Inventory[[#This Row],[condition]],Lookups!$A$38:$C$45,3,FALSE),1)</f>
        <v>0.99135053432734199</v>
      </c>
      <c r="BT15" s="4">
        <f>IF(Granger_Inventory[[#This Row],[decade]]="",1,_xlfn.IFNA(VLOOKUP(Granger_Inventory[[#This Row],[decade]],Lookups!$G$28:$I$42,3,FALSE),1))</f>
        <v>0.95532362136731586</v>
      </c>
      <c r="BU15" s="4">
        <f>_xlfn.IFNA(VLOOKUP(Granger_Inventory[[#This Row],[living_area_range]],Lookups!$A$48:$C$57,3,FALSE),1)</f>
        <v>0.97960506760539345</v>
      </c>
      <c r="BV15" s="4">
        <f>AVERAGE(Granger_Inventory[[#This Row],[qual_adj]:[living_range_adj]])</f>
        <v>0.97854932860039323</v>
      </c>
      <c r="BW15" s="8">
        <f>(Granger_Inventory[[#This Row],[sum_land]]-IF(Granger_Inventory[[#This Row],[no_utilities]]=1,12000,0))/IF(Granger_Inventory[[#This Row],[unbuildable]]=1,2,1)</f>
        <v>23128.971718879347</v>
      </c>
      <c r="BX15" s="8">
        <f>Granger_Inventory[[#This Row],[pre_res]]*Granger_Inventory[[#This Row],[overall_adj]]</f>
        <v>280458.46162030631</v>
      </c>
      <c r="BY15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5">
        <f>ROUND(Granger_Inventory[[#This Row],[detatched_value]]*Lookups!$I$45,-2)</f>
        <v>0</v>
      </c>
      <c r="CA15">
        <f>IF(ROUND(Granger_Inventory[[#This Row],[adj_res]]*Lookups!$I$45,-2)&lt;Granger_Inventory[[#This Row],[min_res]],Granger_Inventory[[#This Row],[min_res]],ROUND(Granger_Inventory[[#This Row],[adj_res]]*Lookups!$I$45,-2))</f>
        <v>266400</v>
      </c>
      <c r="CB15">
        <f>Granger_Inventory[[#This Row],[final_det]]+Granger_Inventory[[#This Row],[final_res]]</f>
        <v>266400</v>
      </c>
      <c r="CC15">
        <f>Granger_Inventory[[#This Row],[final_land]]+Granger_Inventory[[#This Row],[final_imp]]+Granger_Inventory[[#This Row],[crop_value]]</f>
        <v>288400</v>
      </c>
      <c r="CE15" t="str">
        <f t="shared" si="0"/>
        <v>update valuation set market_land =22000, market_bldg=266400, market_total =288400, market_mdno =402, market_date ='9/10/2023' where link_id = (select link_id from parcel where parcel_year = '2024' and parcel_id = '21101531413');</v>
      </c>
    </row>
    <row r="16" spans="1:84" x14ac:dyDescent="0.25">
      <c r="A16">
        <v>21101531414</v>
      </c>
      <c r="B16">
        <v>0.17</v>
      </c>
      <c r="C16">
        <v>7544</v>
      </c>
      <c r="D16" t="s">
        <v>137</v>
      </c>
      <c r="E16" t="s">
        <v>54</v>
      </c>
      <c r="F16" t="s">
        <v>54</v>
      </c>
      <c r="G16">
        <v>3</v>
      </c>
      <c r="H16" t="s">
        <v>55</v>
      </c>
      <c r="I16">
        <v>233800</v>
      </c>
      <c r="J16">
        <v>27100</v>
      </c>
      <c r="K16">
        <v>0.17</v>
      </c>
      <c r="L1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6">
        <v>0</v>
      </c>
      <c r="N16">
        <v>0</v>
      </c>
      <c r="O16">
        <v>0</v>
      </c>
      <c r="P16">
        <v>47108.068500000001</v>
      </c>
      <c r="Q16">
        <v>122298</v>
      </c>
      <c r="R16">
        <f>(Granger_Inventory[[#This Row],[ln_acres]]*Granger_Inventory[[#This Row],[coeff]])+Granger_Inventory[[#This Row],[const]]</f>
        <v>38824.535711229546</v>
      </c>
      <c r="S16" t="s">
        <v>56</v>
      </c>
      <c r="T16">
        <v>1</v>
      </c>
      <c r="U16" t="s">
        <v>57</v>
      </c>
      <c r="V16" t="s">
        <v>72</v>
      </c>
      <c r="W16">
        <v>0</v>
      </c>
      <c r="X16">
        <v>0</v>
      </c>
      <c r="Y16">
        <v>16</v>
      </c>
      <c r="Z16">
        <v>16</v>
      </c>
      <c r="AA16">
        <v>20</v>
      </c>
      <c r="AB16">
        <v>1500</v>
      </c>
      <c r="AC16">
        <v>1006</v>
      </c>
      <c r="AD16">
        <v>1006</v>
      </c>
      <c r="AE16">
        <v>0</v>
      </c>
      <c r="AF16">
        <v>0</v>
      </c>
      <c r="AG16">
        <v>0</v>
      </c>
      <c r="AH16">
        <v>0</v>
      </c>
      <c r="AI16">
        <v>520</v>
      </c>
      <c r="AJ16">
        <v>0</v>
      </c>
      <c r="AK16">
        <v>0</v>
      </c>
      <c r="AL16">
        <v>0</v>
      </c>
      <c r="AM16">
        <v>0</v>
      </c>
      <c r="AN16">
        <v>56</v>
      </c>
      <c r="AO16">
        <v>0</v>
      </c>
      <c r="AP16">
        <v>8</v>
      </c>
      <c r="AQ16">
        <v>0</v>
      </c>
      <c r="AR16">
        <v>0</v>
      </c>
      <c r="AS16" t="s">
        <v>59</v>
      </c>
      <c r="AT16">
        <v>1</v>
      </c>
      <c r="AU16" t="s">
        <v>60</v>
      </c>
      <c r="AV16" t="s">
        <v>65</v>
      </c>
      <c r="AW16">
        <v>1</v>
      </c>
      <c r="AX16">
        <v>3</v>
      </c>
      <c r="AY16">
        <v>0</v>
      </c>
      <c r="AZ16">
        <v>0</v>
      </c>
      <c r="BA16">
        <v>100</v>
      </c>
      <c r="BB16">
        <v>100</v>
      </c>
      <c r="BC16">
        <v>100</v>
      </c>
      <c r="BD16">
        <v>100</v>
      </c>
      <c r="BE16">
        <v>1</v>
      </c>
      <c r="BF16">
        <v>15000</v>
      </c>
      <c r="BG16">
        <v>1000</v>
      </c>
      <c r="BH16" s="8">
        <f>Granger_Inventory[[#This Row],[land_extract]]*Lookups!$B$3</f>
        <v>23128.971718879347</v>
      </c>
      <c r="BI16" s="8">
        <f>IF(Granger_Inventory[[#This Row],[bldg_style]]="",0,Lookups!$B$2)</f>
        <v>29703.559000000001</v>
      </c>
      <c r="BJ16" s="8">
        <f>_xlfn.IFNA(VLOOKUP(Granger_Inventory[[#This Row],[quality]],Lookups!$H$2:$J$14,3,FALSE),0)</f>
        <v>56414</v>
      </c>
      <c r="BK16" s="8">
        <f>_xlfn.IFNA(VLOOKUP(Granger_Inventory[[#This Row],[condition]],Lookups!$H$17:$J$24,3,FALSE),0)</f>
        <v>94106</v>
      </c>
      <c r="BL16" s="8">
        <f>Granger_Inventory[[#This Row],[Age]]*Lookups!$B$16</f>
        <v>-3317.2975999999999</v>
      </c>
      <c r="BM16" s="8">
        <f>Granger_Inventory[[#This Row],[living_area]]*Lookups!$B$17</f>
        <v>67676.546453999996</v>
      </c>
      <c r="BN16" s="8">
        <f>(Granger_Inventory[[#This Row],[att_gar]]+Granger_Inventory[[#This Row],[blt_gar]])*Lookups!$B$18</f>
        <v>25192.744720000002</v>
      </c>
      <c r="BO16" s="8">
        <f>Granger_Inventory[[#This Row],[Patio]]*Lookups!$B$19</f>
        <v>0</v>
      </c>
      <c r="BP16" s="8">
        <f>SUM(Granger_Inventory[[#This Row],[Intercept]:[Patio_Value]])*Granger_Inventory[[#This Row],[res_pct]]</f>
        <v>269775.55257400003</v>
      </c>
      <c r="BQ16" s="8">
        <f>Granger_Inventory[[#This Row],[land_value]]</f>
        <v>23128.971718879347</v>
      </c>
      <c r="BR16" s="4">
        <f>_xlfn.IFNA(VLOOKUP(Granger_Inventory[[#This Row],[quality]],Lookups!$A$25:$C$35,3,FALSE),1)</f>
        <v>0.98791809110152173</v>
      </c>
      <c r="BS16" s="4">
        <f>_xlfn.IFNA(VLOOKUP(Granger_Inventory[[#This Row],[condition]],Lookups!$A$38:$C$45,3,FALSE),1)</f>
        <v>0.98658583151544277</v>
      </c>
      <c r="BT16" s="4">
        <f>IF(Granger_Inventory[[#This Row],[decade]]="",1,_xlfn.IFNA(VLOOKUP(Granger_Inventory[[#This Row],[decade]],Lookups!$G$28:$I$42,3,FALSE),1))</f>
        <v>1.0159161060824455</v>
      </c>
      <c r="BU16" s="4">
        <f>_xlfn.IFNA(VLOOKUP(Granger_Inventory[[#This Row],[living_area_range]],Lookups!$A$48:$C$57,3,FALSE),1)</f>
        <v>0.97960506760539345</v>
      </c>
      <c r="BV16" s="4">
        <f>AVERAGE(Granger_Inventory[[#This Row],[qual_adj]:[living_range_adj]])</f>
        <v>0.99250627407620096</v>
      </c>
      <c r="BW16" s="8">
        <f>(Granger_Inventory[[#This Row],[sum_land]]-IF(Granger_Inventory[[#This Row],[no_utilities]]=1,12000,0))/IF(Granger_Inventory[[#This Row],[unbuildable]]=1,2,1)</f>
        <v>23128.971718879347</v>
      </c>
      <c r="BX16" s="8">
        <f>Granger_Inventory[[#This Row],[pre_res]]*Granger_Inventory[[#This Row],[overall_adj]]</f>
        <v>267753.92852206901</v>
      </c>
      <c r="BY1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6">
        <f>ROUND(Granger_Inventory[[#This Row],[detatched_value]]*Lookups!$I$45,-2)</f>
        <v>0</v>
      </c>
      <c r="CA16">
        <f>IF(ROUND(Granger_Inventory[[#This Row],[adj_res]]*Lookups!$I$45,-2)&lt;Granger_Inventory[[#This Row],[min_res]],Granger_Inventory[[#This Row],[min_res]],ROUND(Granger_Inventory[[#This Row],[adj_res]]*Lookups!$I$45,-2))</f>
        <v>254400</v>
      </c>
      <c r="CB16">
        <f>Granger_Inventory[[#This Row],[final_det]]+Granger_Inventory[[#This Row],[final_res]]</f>
        <v>254400</v>
      </c>
      <c r="CC16">
        <f>Granger_Inventory[[#This Row],[final_land]]+Granger_Inventory[[#This Row],[final_imp]]+Granger_Inventory[[#This Row],[crop_value]]</f>
        <v>276400</v>
      </c>
      <c r="CE16" t="str">
        <f t="shared" si="0"/>
        <v>update valuation set market_land =22000, market_bldg=254400, market_total =276400, market_mdno =402, market_date ='9/10/2023' where link_id = (select link_id from parcel where parcel_year = '2024' and parcel_id = '21101531414');</v>
      </c>
    </row>
    <row r="17" spans="1:83" x14ac:dyDescent="0.25">
      <c r="A17">
        <v>21101531415</v>
      </c>
      <c r="B17">
        <v>0.15</v>
      </c>
      <c r="C17">
        <v>6716</v>
      </c>
      <c r="D17" t="s">
        <v>137</v>
      </c>
      <c r="E17" t="s">
        <v>54</v>
      </c>
      <c r="F17" t="s">
        <v>54</v>
      </c>
      <c r="G17">
        <v>3</v>
      </c>
      <c r="H17" t="s">
        <v>55</v>
      </c>
      <c r="I17">
        <v>273100</v>
      </c>
      <c r="J17">
        <v>26300</v>
      </c>
      <c r="K17">
        <v>0.15</v>
      </c>
      <c r="L1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7">
        <v>0</v>
      </c>
      <c r="N17">
        <v>0</v>
      </c>
      <c r="O17">
        <v>0</v>
      </c>
      <c r="P17">
        <v>47108.068500000001</v>
      </c>
      <c r="Q17">
        <v>122298</v>
      </c>
      <c r="R17">
        <f>(Granger_Inventory[[#This Row],[ln_acres]]*Granger_Inventory[[#This Row],[coeff]])+Granger_Inventory[[#This Row],[const]]</f>
        <v>32928.341799276939</v>
      </c>
      <c r="S17" t="s">
        <v>140</v>
      </c>
      <c r="T17">
        <v>1</v>
      </c>
      <c r="U17" t="s">
        <v>57</v>
      </c>
      <c r="V17" t="s">
        <v>58</v>
      </c>
      <c r="W17">
        <v>0</v>
      </c>
      <c r="X17">
        <v>0</v>
      </c>
      <c r="Y17">
        <v>16</v>
      </c>
      <c r="Z17">
        <v>16</v>
      </c>
      <c r="AA17">
        <v>20</v>
      </c>
      <c r="AB17">
        <v>1500</v>
      </c>
      <c r="AC17">
        <v>1296</v>
      </c>
      <c r="AD17">
        <v>876</v>
      </c>
      <c r="AE17">
        <v>0</v>
      </c>
      <c r="AF17">
        <v>0</v>
      </c>
      <c r="AG17">
        <v>420</v>
      </c>
      <c r="AH17">
        <v>0</v>
      </c>
      <c r="AI17">
        <v>0</v>
      </c>
      <c r="AJ17">
        <v>456</v>
      </c>
      <c r="AK17">
        <v>0</v>
      </c>
      <c r="AL17">
        <v>360</v>
      </c>
      <c r="AM17">
        <v>0</v>
      </c>
      <c r="AN17">
        <v>36</v>
      </c>
      <c r="AO17">
        <v>0</v>
      </c>
      <c r="AP17">
        <v>8</v>
      </c>
      <c r="AQ17">
        <v>0</v>
      </c>
      <c r="AR17">
        <v>0</v>
      </c>
      <c r="AS17" t="s">
        <v>59</v>
      </c>
      <c r="AT17">
        <v>1</v>
      </c>
      <c r="AU17" t="s">
        <v>60</v>
      </c>
      <c r="AV17" t="s">
        <v>65</v>
      </c>
      <c r="AW17">
        <v>1</v>
      </c>
      <c r="AX17">
        <v>3</v>
      </c>
      <c r="AY17">
        <v>0</v>
      </c>
      <c r="AZ17">
        <v>0</v>
      </c>
      <c r="BA17">
        <v>100</v>
      </c>
      <c r="BB17">
        <v>100</v>
      </c>
      <c r="BC17">
        <v>100</v>
      </c>
      <c r="BD17">
        <v>100</v>
      </c>
      <c r="BE17">
        <v>1</v>
      </c>
      <c r="BF17">
        <v>15000</v>
      </c>
      <c r="BG17">
        <v>1000</v>
      </c>
      <c r="BH17" s="8">
        <f>Granger_Inventory[[#This Row],[land_extract]]*Lookups!$B$3</f>
        <v>19616.42740275669</v>
      </c>
      <c r="BI17" s="8">
        <f>IF(Granger_Inventory[[#This Row],[bldg_style]]="",0,Lookups!$B$2)</f>
        <v>29703.559000000001</v>
      </c>
      <c r="BJ17" s="8">
        <f>_xlfn.IFNA(VLOOKUP(Granger_Inventory[[#This Row],[quality]],Lookups!$H$2:$J$14,3,FALSE),0)</f>
        <v>56414</v>
      </c>
      <c r="BK17" s="8">
        <f>_xlfn.IFNA(VLOOKUP(Granger_Inventory[[#This Row],[condition]],Lookups!$H$17:$J$24,3,FALSE),0)</f>
        <v>101774</v>
      </c>
      <c r="BL17" s="8">
        <f>Granger_Inventory[[#This Row],[Age]]*Lookups!$B$16</f>
        <v>-3317.2975999999999</v>
      </c>
      <c r="BM17" s="8">
        <f>Granger_Inventory[[#This Row],[living_area]]*Lookups!$B$17</f>
        <v>87185.690063999995</v>
      </c>
      <c r="BN17" s="8">
        <f>(Granger_Inventory[[#This Row],[att_gar]]+Granger_Inventory[[#This Row],[blt_gar]])*Lookups!$B$18</f>
        <v>22092.099216000002</v>
      </c>
      <c r="BO17" s="8">
        <f>Granger_Inventory[[#This Row],[Patio]]*Lookups!$B$19</f>
        <v>0</v>
      </c>
      <c r="BP17" s="8">
        <f>SUM(Granger_Inventory[[#This Row],[Intercept]:[Patio_Value]])*Granger_Inventory[[#This Row],[res_pct]]</f>
        <v>293852.05068000004</v>
      </c>
      <c r="BQ17" s="8">
        <f>Granger_Inventory[[#This Row],[land_value]]</f>
        <v>19616.42740275669</v>
      </c>
      <c r="BR17" s="4">
        <f>_xlfn.IFNA(VLOOKUP(Granger_Inventory[[#This Row],[quality]],Lookups!$A$25:$C$35,3,FALSE),1)</f>
        <v>0.98791809110152173</v>
      </c>
      <c r="BS17" s="4">
        <f>_xlfn.IFNA(VLOOKUP(Granger_Inventory[[#This Row],[condition]],Lookups!$A$38:$C$45,3,FALSE),1)</f>
        <v>0.99135053432734199</v>
      </c>
      <c r="BT17" s="4">
        <f>IF(Granger_Inventory[[#This Row],[decade]]="",1,_xlfn.IFNA(VLOOKUP(Granger_Inventory[[#This Row],[decade]],Lookups!$G$28:$I$42,3,FALSE),1))</f>
        <v>1.0159161060824455</v>
      </c>
      <c r="BU17" s="4">
        <f>_xlfn.IFNA(VLOOKUP(Granger_Inventory[[#This Row],[living_area_range]],Lookups!$A$48:$C$57,3,FALSE),1)</f>
        <v>0.97960506760539345</v>
      </c>
      <c r="BV17" s="4">
        <f>AVERAGE(Granger_Inventory[[#This Row],[qual_adj]:[living_range_adj]])</f>
        <v>0.99369744977917573</v>
      </c>
      <c r="BW17" s="8">
        <f>(Granger_Inventory[[#This Row],[sum_land]]-IF(Granger_Inventory[[#This Row],[no_utilities]]=1,12000,0))/IF(Granger_Inventory[[#This Row],[unbuildable]]=1,2,1)</f>
        <v>19616.42740275669</v>
      </c>
      <c r="BX17" s="8">
        <f>Granger_Inventory[[#This Row],[pre_res]]*Granger_Inventory[[#This Row],[overall_adj]]</f>
        <v>292000.03337309713</v>
      </c>
      <c r="BY1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7">
        <f>ROUND(Granger_Inventory[[#This Row],[detatched_value]]*Lookups!$I$45,-2)</f>
        <v>0</v>
      </c>
      <c r="CA17">
        <f>IF(ROUND(Granger_Inventory[[#This Row],[adj_res]]*Lookups!$I$45,-2)&lt;Granger_Inventory[[#This Row],[min_res]],Granger_Inventory[[#This Row],[min_res]],ROUND(Granger_Inventory[[#This Row],[adj_res]]*Lookups!$I$45,-2))</f>
        <v>277400</v>
      </c>
      <c r="CB17">
        <f>Granger_Inventory[[#This Row],[final_det]]+Granger_Inventory[[#This Row],[final_res]]</f>
        <v>277400</v>
      </c>
      <c r="CC17">
        <f>Granger_Inventory[[#This Row],[final_land]]+Granger_Inventory[[#This Row],[final_imp]]+Granger_Inventory[[#This Row],[crop_value]]</f>
        <v>296000</v>
      </c>
      <c r="CE17" t="str">
        <f t="shared" si="0"/>
        <v>update valuation set market_land =18600, market_bldg=277400, market_total =296000, market_mdno =402, market_date ='9/10/2023' where link_id = (select link_id from parcel where parcel_year = '2024' and parcel_id = '21101531415');</v>
      </c>
    </row>
    <row r="18" spans="1:83" x14ac:dyDescent="0.25">
      <c r="A18">
        <v>21101531417</v>
      </c>
      <c r="B18">
        <v>0.16</v>
      </c>
      <c r="C18">
        <v>6802</v>
      </c>
      <c r="D18" t="s">
        <v>137</v>
      </c>
      <c r="E18" t="s">
        <v>54</v>
      </c>
      <c r="F18" t="s">
        <v>54</v>
      </c>
      <c r="G18">
        <v>3</v>
      </c>
      <c r="H18" t="s">
        <v>55</v>
      </c>
      <c r="I18">
        <v>272200</v>
      </c>
      <c r="J18">
        <v>26700</v>
      </c>
      <c r="K18">
        <v>0.16</v>
      </c>
      <c r="L1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18">
        <v>0</v>
      </c>
      <c r="N18">
        <v>0</v>
      </c>
      <c r="O18">
        <v>0</v>
      </c>
      <c r="P18">
        <v>47108.068500000001</v>
      </c>
      <c r="Q18">
        <v>122298</v>
      </c>
      <c r="R18">
        <f>(Granger_Inventory[[#This Row],[ln_acres]]*Granger_Inventory[[#This Row],[coeff]])+Granger_Inventory[[#This Row],[const]]</f>
        <v>35968.626873914327</v>
      </c>
      <c r="S18" t="s">
        <v>56</v>
      </c>
      <c r="T18">
        <v>1</v>
      </c>
      <c r="U18" t="s">
        <v>57</v>
      </c>
      <c r="V18" t="s">
        <v>72</v>
      </c>
      <c r="W18">
        <v>0</v>
      </c>
      <c r="X18">
        <v>0</v>
      </c>
      <c r="Y18">
        <v>21</v>
      </c>
      <c r="Z18">
        <v>21</v>
      </c>
      <c r="AA18">
        <v>30</v>
      </c>
      <c r="AB18">
        <v>1500</v>
      </c>
      <c r="AC18">
        <v>1368</v>
      </c>
      <c r="AD18">
        <v>1368</v>
      </c>
      <c r="AE18">
        <v>0</v>
      </c>
      <c r="AF18">
        <v>0</v>
      </c>
      <c r="AG18">
        <v>0</v>
      </c>
      <c r="AH18">
        <v>0</v>
      </c>
      <c r="AI18">
        <v>400</v>
      </c>
      <c r="AJ18">
        <v>0</v>
      </c>
      <c r="AK18">
        <v>0</v>
      </c>
      <c r="AL18">
        <v>0</v>
      </c>
      <c r="AM18">
        <v>80</v>
      </c>
      <c r="AN18">
        <v>50</v>
      </c>
      <c r="AO18">
        <v>0</v>
      </c>
      <c r="AP18">
        <v>8</v>
      </c>
      <c r="AQ18">
        <v>0</v>
      </c>
      <c r="AR18">
        <v>0</v>
      </c>
      <c r="AS18" t="s">
        <v>59</v>
      </c>
      <c r="AT18">
        <v>1</v>
      </c>
      <c r="AU18" t="s">
        <v>60</v>
      </c>
      <c r="AV18" t="s">
        <v>61</v>
      </c>
      <c r="AW18">
        <v>1</v>
      </c>
      <c r="AX18">
        <v>4</v>
      </c>
      <c r="AY18">
        <v>0</v>
      </c>
      <c r="AZ18">
        <v>0</v>
      </c>
      <c r="BA18">
        <v>100</v>
      </c>
      <c r="BB18">
        <v>100</v>
      </c>
      <c r="BC18">
        <v>100</v>
      </c>
      <c r="BD18">
        <v>100</v>
      </c>
      <c r="BE18">
        <v>1</v>
      </c>
      <c r="BF18">
        <v>15000</v>
      </c>
      <c r="BG18">
        <v>1000</v>
      </c>
      <c r="BH18" s="8">
        <f>Granger_Inventory[[#This Row],[land_extract]]*Lookups!$B$3</f>
        <v>21427.618862498482</v>
      </c>
      <c r="BI18" s="8">
        <f>IF(Granger_Inventory[[#This Row],[bldg_style]]="",0,Lookups!$B$2)</f>
        <v>29703.559000000001</v>
      </c>
      <c r="BJ18" s="8">
        <f>_xlfn.IFNA(VLOOKUP(Granger_Inventory[[#This Row],[quality]],Lookups!$H$2:$J$14,3,FALSE),0)</f>
        <v>56414</v>
      </c>
      <c r="BK18" s="8">
        <f>_xlfn.IFNA(VLOOKUP(Granger_Inventory[[#This Row],[condition]],Lookups!$H$17:$J$24,3,FALSE),0)</f>
        <v>94106</v>
      </c>
      <c r="BL18" s="8">
        <f>Granger_Inventory[[#This Row],[Age]]*Lookups!$B$16</f>
        <v>-4353.9530999999997</v>
      </c>
      <c r="BM18" s="8">
        <f>Granger_Inventory[[#This Row],[living_area]]*Lookups!$B$17</f>
        <v>92029.339511999991</v>
      </c>
      <c r="BN18" s="8">
        <f>(Granger_Inventory[[#This Row],[att_gar]]+Granger_Inventory[[#This Row],[blt_gar]])*Lookups!$B$18</f>
        <v>19379.0344</v>
      </c>
      <c r="BO18" s="8">
        <f>Granger_Inventory[[#This Row],[Patio]]*Lookups!$B$19</f>
        <v>4345.2076799999995</v>
      </c>
      <c r="BP18" s="8">
        <f>SUM(Granger_Inventory[[#This Row],[Intercept]:[Patio_Value]])*Granger_Inventory[[#This Row],[res_pct]]</f>
        <v>291623.187492</v>
      </c>
      <c r="BQ18" s="8">
        <f>Granger_Inventory[[#This Row],[land_value]]</f>
        <v>21427.618862498482</v>
      </c>
      <c r="BR18" s="4">
        <f>_xlfn.IFNA(VLOOKUP(Granger_Inventory[[#This Row],[quality]],Lookups!$A$25:$C$35,3,FALSE),1)</f>
        <v>0.98791809110152173</v>
      </c>
      <c r="BS18" s="4">
        <f>_xlfn.IFNA(VLOOKUP(Granger_Inventory[[#This Row],[condition]],Lookups!$A$38:$C$45,3,FALSE),1)</f>
        <v>0.98658583151544277</v>
      </c>
      <c r="BT18" s="4">
        <f>IF(Granger_Inventory[[#This Row],[decade]]="",1,_xlfn.IFNA(VLOOKUP(Granger_Inventory[[#This Row],[decade]],Lookups!$G$28:$I$42,3,FALSE),1))</f>
        <v>1.0539470644652671</v>
      </c>
      <c r="BU18" s="4">
        <f>_xlfn.IFNA(VLOOKUP(Granger_Inventory[[#This Row],[living_area_range]],Lookups!$A$48:$C$57,3,FALSE),1)</f>
        <v>0.97960506760539345</v>
      </c>
      <c r="BV18" s="4">
        <f>AVERAGE(Granger_Inventory[[#This Row],[qual_adj]:[living_range_adj]])</f>
        <v>1.0020140136719062</v>
      </c>
      <c r="BW18" s="8">
        <f>(Granger_Inventory[[#This Row],[sum_land]]-IF(Granger_Inventory[[#This Row],[no_utilities]]=1,12000,0))/IF(Granger_Inventory[[#This Row],[unbuildable]]=1,2,1)</f>
        <v>21427.618862498482</v>
      </c>
      <c r="BX18" s="8">
        <f>Granger_Inventory[[#This Row],[pre_res]]*Granger_Inventory[[#This Row],[overall_adj]]</f>
        <v>292210.52057865378</v>
      </c>
      <c r="BY1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18">
        <f>ROUND(Granger_Inventory[[#This Row],[detatched_value]]*Lookups!$I$45,-2)</f>
        <v>0</v>
      </c>
      <c r="CA18">
        <f>IF(ROUND(Granger_Inventory[[#This Row],[adj_res]]*Lookups!$I$45,-2)&lt;Granger_Inventory[[#This Row],[min_res]],Granger_Inventory[[#This Row],[min_res]],ROUND(Granger_Inventory[[#This Row],[adj_res]]*Lookups!$I$45,-2))</f>
        <v>277600</v>
      </c>
      <c r="CB18">
        <f>Granger_Inventory[[#This Row],[final_det]]+Granger_Inventory[[#This Row],[final_res]]</f>
        <v>277600</v>
      </c>
      <c r="CC18">
        <f>Granger_Inventory[[#This Row],[final_land]]+Granger_Inventory[[#This Row],[final_imp]]+Granger_Inventory[[#This Row],[crop_value]]</f>
        <v>298000</v>
      </c>
      <c r="CE18" t="str">
        <f t="shared" si="0"/>
        <v>update valuation set market_land =20400, market_bldg=277600, market_total =298000, market_mdno =402, market_date ='9/10/2023' where link_id = (select link_id from parcel where parcel_year = '2024' and parcel_id = '21101531417');</v>
      </c>
    </row>
    <row r="19" spans="1:83" x14ac:dyDescent="0.25">
      <c r="A19">
        <v>21101531418</v>
      </c>
      <c r="B19">
        <v>0.16</v>
      </c>
      <c r="C19">
        <v>7153</v>
      </c>
      <c r="D19" t="s">
        <v>137</v>
      </c>
      <c r="E19" t="s">
        <v>54</v>
      </c>
      <c r="F19" t="s">
        <v>54</v>
      </c>
      <c r="G19">
        <v>3</v>
      </c>
      <c r="H19" t="s">
        <v>55</v>
      </c>
      <c r="I19">
        <v>208200</v>
      </c>
      <c r="J19">
        <v>26700</v>
      </c>
      <c r="K19">
        <v>0.16</v>
      </c>
      <c r="L19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19">
        <v>0</v>
      </c>
      <c r="N19">
        <v>0</v>
      </c>
      <c r="O19">
        <v>0</v>
      </c>
      <c r="P19">
        <v>47108.068500000001</v>
      </c>
      <c r="Q19">
        <v>122298</v>
      </c>
      <c r="R19">
        <f>(Granger_Inventory[[#This Row],[ln_acres]]*Granger_Inventory[[#This Row],[coeff]])+Granger_Inventory[[#This Row],[const]]</f>
        <v>35968.626873914327</v>
      </c>
      <c r="S19" t="s">
        <v>56</v>
      </c>
      <c r="T19">
        <v>1</v>
      </c>
      <c r="U19" t="s">
        <v>64</v>
      </c>
      <c r="V19" t="s">
        <v>72</v>
      </c>
      <c r="W19">
        <v>0</v>
      </c>
      <c r="X19">
        <v>0</v>
      </c>
      <c r="Y19">
        <v>21</v>
      </c>
      <c r="Z19">
        <v>21</v>
      </c>
      <c r="AA19">
        <v>30</v>
      </c>
      <c r="AB19">
        <v>1500</v>
      </c>
      <c r="AC19">
        <v>1160</v>
      </c>
      <c r="AD19">
        <v>1160</v>
      </c>
      <c r="AE19">
        <v>0</v>
      </c>
      <c r="AF19">
        <v>0</v>
      </c>
      <c r="AG19">
        <v>0</v>
      </c>
      <c r="AH19">
        <v>0</v>
      </c>
      <c r="AI19">
        <v>325</v>
      </c>
      <c r="AJ19">
        <v>0</v>
      </c>
      <c r="AK19">
        <v>0</v>
      </c>
      <c r="AL19">
        <v>0</v>
      </c>
      <c r="AM19">
        <v>100</v>
      </c>
      <c r="AN19">
        <v>145</v>
      </c>
      <c r="AO19">
        <v>0</v>
      </c>
      <c r="AP19">
        <v>8</v>
      </c>
      <c r="AQ19">
        <v>0</v>
      </c>
      <c r="AR19">
        <v>0</v>
      </c>
      <c r="AS19" t="s">
        <v>59</v>
      </c>
      <c r="AT19">
        <v>1</v>
      </c>
      <c r="AU19" t="s">
        <v>60</v>
      </c>
      <c r="AV19" t="s">
        <v>65</v>
      </c>
      <c r="AW19">
        <v>1</v>
      </c>
      <c r="AX19">
        <v>3</v>
      </c>
      <c r="AY19">
        <v>0</v>
      </c>
      <c r="AZ19">
        <v>0</v>
      </c>
      <c r="BA19">
        <v>100</v>
      </c>
      <c r="BB19">
        <v>100</v>
      </c>
      <c r="BC19">
        <v>100</v>
      </c>
      <c r="BD19">
        <v>100</v>
      </c>
      <c r="BE19">
        <v>1</v>
      </c>
      <c r="BF19">
        <v>15000</v>
      </c>
      <c r="BG19">
        <v>1000</v>
      </c>
      <c r="BH19" s="8">
        <f>Granger_Inventory[[#This Row],[land_extract]]*Lookups!$B$3</f>
        <v>21427.618862498482</v>
      </c>
      <c r="BI19" s="8">
        <f>IF(Granger_Inventory[[#This Row],[bldg_style]]="",0,Lookups!$B$2)</f>
        <v>29703.559000000001</v>
      </c>
      <c r="BJ19" s="8">
        <f>_xlfn.IFNA(VLOOKUP(Granger_Inventory[[#This Row],[quality]],Lookups!$H$2:$J$14,3,FALSE),0)</f>
        <v>36568</v>
      </c>
      <c r="BK19" s="8">
        <f>_xlfn.IFNA(VLOOKUP(Granger_Inventory[[#This Row],[condition]],Lookups!$H$17:$J$24,3,FALSE),0)</f>
        <v>94106</v>
      </c>
      <c r="BL19" s="8">
        <f>Granger_Inventory[[#This Row],[Age]]*Lookups!$B$16</f>
        <v>-4353.9530999999997</v>
      </c>
      <c r="BM19" s="8">
        <f>Granger_Inventory[[#This Row],[living_area]]*Lookups!$B$17</f>
        <v>78036.574439999997</v>
      </c>
      <c r="BN19" s="8">
        <f>(Granger_Inventory[[#This Row],[att_gar]]+Granger_Inventory[[#This Row],[blt_gar]])*Lookups!$B$18</f>
        <v>15745.46545</v>
      </c>
      <c r="BO19" s="8">
        <f>Granger_Inventory[[#This Row],[Patio]]*Lookups!$B$19</f>
        <v>5431.5095999999994</v>
      </c>
      <c r="BP19" s="8">
        <f>SUM(Granger_Inventory[[#This Row],[Intercept]:[Patio_Value]])*Granger_Inventory[[#This Row],[res_pct]]</f>
        <v>255237.15538999997</v>
      </c>
      <c r="BQ19" s="8">
        <f>Granger_Inventory[[#This Row],[land_value]]</f>
        <v>21427.618862498482</v>
      </c>
      <c r="BR19" s="4">
        <f>_xlfn.IFNA(VLOOKUP(Granger_Inventory[[#This Row],[quality]],Lookups!$A$25:$C$35,3,FALSE),1)</f>
        <v>0.99049976351917957</v>
      </c>
      <c r="BS19" s="4">
        <f>_xlfn.IFNA(VLOOKUP(Granger_Inventory[[#This Row],[condition]],Lookups!$A$38:$C$45,3,FALSE),1)</f>
        <v>0.98658583151544277</v>
      </c>
      <c r="BT19" s="4">
        <f>IF(Granger_Inventory[[#This Row],[decade]]="",1,_xlfn.IFNA(VLOOKUP(Granger_Inventory[[#This Row],[decade]],Lookups!$G$28:$I$42,3,FALSE),1))</f>
        <v>1.0539470644652671</v>
      </c>
      <c r="BU19" s="4">
        <f>_xlfn.IFNA(VLOOKUP(Granger_Inventory[[#This Row],[living_area_range]],Lookups!$A$48:$C$57,3,FALSE),1)</f>
        <v>0.97960506760539345</v>
      </c>
      <c r="BV19" s="4">
        <f>AVERAGE(Granger_Inventory[[#This Row],[qual_adj]:[living_range_adj]])</f>
        <v>1.0026594317763207</v>
      </c>
      <c r="BW19" s="8">
        <f>(Granger_Inventory[[#This Row],[sum_land]]-IF(Granger_Inventory[[#This Row],[no_utilities]]=1,12000,0))/IF(Granger_Inventory[[#This Row],[unbuildable]]=1,2,1)</f>
        <v>21427.618862498482</v>
      </c>
      <c r="BX19" s="8">
        <f>Granger_Inventory[[#This Row],[pre_res]]*Granger_Inventory[[#This Row],[overall_adj]]</f>
        <v>255915.94119154185</v>
      </c>
      <c r="BY19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19">
        <f>ROUND(Granger_Inventory[[#This Row],[detatched_value]]*Lookups!$I$45,-2)</f>
        <v>0</v>
      </c>
      <c r="CA19">
        <f>IF(ROUND(Granger_Inventory[[#This Row],[adj_res]]*Lookups!$I$45,-2)&lt;Granger_Inventory[[#This Row],[min_res]],Granger_Inventory[[#This Row],[min_res]],ROUND(Granger_Inventory[[#This Row],[adj_res]]*Lookups!$I$45,-2))</f>
        <v>243100</v>
      </c>
      <c r="CB19">
        <f>Granger_Inventory[[#This Row],[final_det]]+Granger_Inventory[[#This Row],[final_res]]</f>
        <v>243100</v>
      </c>
      <c r="CC19">
        <f>Granger_Inventory[[#This Row],[final_land]]+Granger_Inventory[[#This Row],[final_imp]]+Granger_Inventory[[#This Row],[crop_value]]</f>
        <v>263500</v>
      </c>
      <c r="CE19" t="str">
        <f t="shared" si="0"/>
        <v>update valuation set market_land =20400, market_bldg=243100, market_total =263500, market_mdno =402, market_date ='9/10/2023' where link_id = (select link_id from parcel where parcel_year = '2024' and parcel_id = '21101531418');</v>
      </c>
    </row>
    <row r="20" spans="1:83" x14ac:dyDescent="0.25">
      <c r="A20">
        <v>21101531419</v>
      </c>
      <c r="B20">
        <v>0.16</v>
      </c>
      <c r="C20">
        <v>7150</v>
      </c>
      <c r="D20" t="s">
        <v>137</v>
      </c>
      <c r="E20" t="s">
        <v>54</v>
      </c>
      <c r="F20" t="s">
        <v>54</v>
      </c>
      <c r="G20">
        <v>3</v>
      </c>
      <c r="H20" t="s">
        <v>55</v>
      </c>
      <c r="I20">
        <v>289200</v>
      </c>
      <c r="J20">
        <v>26700</v>
      </c>
      <c r="K20">
        <v>0.16</v>
      </c>
      <c r="L2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0">
        <v>0</v>
      </c>
      <c r="N20">
        <v>0</v>
      </c>
      <c r="O20">
        <v>0</v>
      </c>
      <c r="P20">
        <v>47108.068500000001</v>
      </c>
      <c r="Q20">
        <v>122298</v>
      </c>
      <c r="R20">
        <f>(Granger_Inventory[[#This Row],[ln_acres]]*Granger_Inventory[[#This Row],[coeff]])+Granger_Inventory[[#This Row],[const]]</f>
        <v>35968.626873914327</v>
      </c>
      <c r="S20" t="s">
        <v>140</v>
      </c>
      <c r="T20">
        <v>2</v>
      </c>
      <c r="U20" t="s">
        <v>57</v>
      </c>
      <c r="V20" t="s">
        <v>70</v>
      </c>
      <c r="W20">
        <v>0</v>
      </c>
      <c r="X20">
        <v>0</v>
      </c>
      <c r="Y20">
        <v>16</v>
      </c>
      <c r="Z20">
        <v>16</v>
      </c>
      <c r="AA20">
        <v>20</v>
      </c>
      <c r="AB20">
        <v>1500</v>
      </c>
      <c r="AC20">
        <v>1296</v>
      </c>
      <c r="AD20">
        <v>420</v>
      </c>
      <c r="AE20">
        <v>876</v>
      </c>
      <c r="AF20">
        <v>0</v>
      </c>
      <c r="AG20">
        <v>0</v>
      </c>
      <c r="AH20">
        <v>0</v>
      </c>
      <c r="AI20">
        <v>0</v>
      </c>
      <c r="AJ20">
        <v>456</v>
      </c>
      <c r="AK20">
        <v>0</v>
      </c>
      <c r="AL20">
        <v>36</v>
      </c>
      <c r="AM20">
        <v>0</v>
      </c>
      <c r="AN20">
        <v>0</v>
      </c>
      <c r="AO20">
        <v>0</v>
      </c>
      <c r="AP20">
        <v>8</v>
      </c>
      <c r="AQ20">
        <v>0</v>
      </c>
      <c r="AR20">
        <v>0</v>
      </c>
      <c r="AS20" t="s">
        <v>59</v>
      </c>
      <c r="AT20">
        <v>1</v>
      </c>
      <c r="AU20" t="s">
        <v>60</v>
      </c>
      <c r="AV20" t="s">
        <v>65</v>
      </c>
      <c r="AW20">
        <v>1</v>
      </c>
      <c r="AX20">
        <v>3</v>
      </c>
      <c r="AY20">
        <v>0</v>
      </c>
      <c r="AZ20">
        <v>0</v>
      </c>
      <c r="BA20">
        <v>100</v>
      </c>
      <c r="BB20">
        <v>100</v>
      </c>
      <c r="BC20">
        <v>100</v>
      </c>
      <c r="BD20">
        <v>100</v>
      </c>
      <c r="BE20">
        <v>1</v>
      </c>
      <c r="BF20">
        <v>15000</v>
      </c>
      <c r="BG20">
        <v>1000</v>
      </c>
      <c r="BH20" s="8">
        <f>Granger_Inventory[[#This Row],[land_extract]]*Lookups!$B$3</f>
        <v>21427.618862498482</v>
      </c>
      <c r="BI20" s="8">
        <f>IF(Granger_Inventory[[#This Row],[bldg_style]]="",0,Lookups!$B$2)</f>
        <v>29703.559000000001</v>
      </c>
      <c r="BJ20" s="8">
        <f>_xlfn.IFNA(VLOOKUP(Granger_Inventory[[#This Row],[quality]],Lookups!$H$2:$J$14,3,FALSE),0)</f>
        <v>56414</v>
      </c>
      <c r="BK20" s="8">
        <f>_xlfn.IFNA(VLOOKUP(Granger_Inventory[[#This Row],[condition]],Lookups!$H$17:$J$24,3,FALSE),0)</f>
        <v>80695</v>
      </c>
      <c r="BL20" s="8">
        <f>Granger_Inventory[[#This Row],[Age]]*Lookups!$B$16</f>
        <v>-3317.2975999999999</v>
      </c>
      <c r="BM20" s="8">
        <f>Granger_Inventory[[#This Row],[living_area]]*Lookups!$B$17</f>
        <v>87185.690063999995</v>
      </c>
      <c r="BN20" s="8">
        <f>(Granger_Inventory[[#This Row],[att_gar]]+Granger_Inventory[[#This Row],[blt_gar]])*Lookups!$B$18</f>
        <v>22092.099216000002</v>
      </c>
      <c r="BO20" s="8">
        <f>Granger_Inventory[[#This Row],[Patio]]*Lookups!$B$19</f>
        <v>0</v>
      </c>
      <c r="BP20" s="8">
        <f>SUM(Granger_Inventory[[#This Row],[Intercept]:[Patio_Value]])*Granger_Inventory[[#This Row],[res_pct]]</f>
        <v>272773.05067999999</v>
      </c>
      <c r="BQ20" s="8">
        <f>Granger_Inventory[[#This Row],[land_value]]</f>
        <v>21427.618862498482</v>
      </c>
      <c r="BR20" s="4">
        <f>_xlfn.IFNA(VLOOKUP(Granger_Inventory[[#This Row],[quality]],Lookups!$A$25:$C$35,3,FALSE),1)</f>
        <v>0.98791809110152173</v>
      </c>
      <c r="BS20" s="4">
        <f>_xlfn.IFNA(VLOOKUP(Granger_Inventory[[#This Row],[condition]],Lookups!$A$38:$C$45,3,FALSE),1)</f>
        <v>0.99484195314749324</v>
      </c>
      <c r="BT20" s="4">
        <f>IF(Granger_Inventory[[#This Row],[decade]]="",1,_xlfn.IFNA(VLOOKUP(Granger_Inventory[[#This Row],[decade]],Lookups!$G$28:$I$42,3,FALSE),1))</f>
        <v>1.0159161060824455</v>
      </c>
      <c r="BU20" s="4">
        <f>_xlfn.IFNA(VLOOKUP(Granger_Inventory[[#This Row],[living_area_range]],Lookups!$A$48:$C$57,3,FALSE),1)</f>
        <v>0.97960506760539345</v>
      </c>
      <c r="BV20" s="4">
        <f>AVERAGE(Granger_Inventory[[#This Row],[qual_adj]:[living_range_adj]])</f>
        <v>0.99457030448421357</v>
      </c>
      <c r="BW20" s="8">
        <f>(Granger_Inventory[[#This Row],[sum_land]]-IF(Granger_Inventory[[#This Row],[no_utilities]]=1,12000,0))/IF(Granger_Inventory[[#This Row],[unbuildable]]=1,2,1)</f>
        <v>21427.618862498482</v>
      </c>
      <c r="BX20" s="8">
        <f>Granger_Inventory[[#This Row],[pre_res]]*Granger_Inventory[[#This Row],[overall_adj]]</f>
        <v>271291.97606989543</v>
      </c>
      <c r="BY2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0">
        <f>ROUND(Granger_Inventory[[#This Row],[detatched_value]]*Lookups!$I$45,-2)</f>
        <v>0</v>
      </c>
      <c r="CA20">
        <f>IF(ROUND(Granger_Inventory[[#This Row],[adj_res]]*Lookups!$I$45,-2)&lt;Granger_Inventory[[#This Row],[min_res]],Granger_Inventory[[#This Row],[min_res]],ROUND(Granger_Inventory[[#This Row],[adj_res]]*Lookups!$I$45,-2))</f>
        <v>257700</v>
      </c>
      <c r="CB20">
        <f>Granger_Inventory[[#This Row],[final_det]]+Granger_Inventory[[#This Row],[final_res]]</f>
        <v>257700</v>
      </c>
      <c r="CC20">
        <f>Granger_Inventory[[#This Row],[final_land]]+Granger_Inventory[[#This Row],[final_imp]]+Granger_Inventory[[#This Row],[crop_value]]</f>
        <v>278100</v>
      </c>
      <c r="CE20" t="str">
        <f t="shared" si="0"/>
        <v>update valuation set market_land =20400, market_bldg=257700, market_total =278100, market_mdno =402, market_date ='9/10/2023' where link_id = (select link_id from parcel where parcel_year = '2024' and parcel_id = '21101531419');</v>
      </c>
    </row>
    <row r="21" spans="1:83" x14ac:dyDescent="0.25">
      <c r="A21">
        <v>21101531420</v>
      </c>
      <c r="B21">
        <v>0.16</v>
      </c>
      <c r="C21">
        <v>6799</v>
      </c>
      <c r="D21" t="s">
        <v>137</v>
      </c>
      <c r="E21" t="s">
        <v>54</v>
      </c>
      <c r="F21" t="s">
        <v>54</v>
      </c>
      <c r="G21">
        <v>3</v>
      </c>
      <c r="H21" t="s">
        <v>55</v>
      </c>
      <c r="I21">
        <v>351300</v>
      </c>
      <c r="J21">
        <v>26700</v>
      </c>
      <c r="K21">
        <v>0.16</v>
      </c>
      <c r="L2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1">
        <v>0</v>
      </c>
      <c r="N21">
        <v>0</v>
      </c>
      <c r="O21">
        <v>0</v>
      </c>
      <c r="P21">
        <v>47108.068500000001</v>
      </c>
      <c r="Q21">
        <v>122298</v>
      </c>
      <c r="R21">
        <f>(Granger_Inventory[[#This Row],[ln_acres]]*Granger_Inventory[[#This Row],[coeff]])+Granger_Inventory[[#This Row],[const]]</f>
        <v>35968.626873914327</v>
      </c>
      <c r="S21" t="s">
        <v>62</v>
      </c>
      <c r="T21">
        <v>2</v>
      </c>
      <c r="U21" t="s">
        <v>57</v>
      </c>
      <c r="V21" t="s">
        <v>70</v>
      </c>
      <c r="W21">
        <v>0</v>
      </c>
      <c r="X21">
        <v>0</v>
      </c>
      <c r="Y21">
        <v>16</v>
      </c>
      <c r="Z21">
        <v>16</v>
      </c>
      <c r="AA21">
        <v>20</v>
      </c>
      <c r="AB21">
        <v>2000</v>
      </c>
      <c r="AC21">
        <v>1640</v>
      </c>
      <c r="AD21">
        <v>600</v>
      </c>
      <c r="AE21">
        <v>1040</v>
      </c>
      <c r="AF21">
        <v>0</v>
      </c>
      <c r="AG21">
        <v>0</v>
      </c>
      <c r="AH21">
        <v>0</v>
      </c>
      <c r="AI21">
        <v>0</v>
      </c>
      <c r="AJ21">
        <v>440</v>
      </c>
      <c r="AK21">
        <v>0</v>
      </c>
      <c r="AL21">
        <v>36</v>
      </c>
      <c r="AM21">
        <v>100</v>
      </c>
      <c r="AN21">
        <v>120</v>
      </c>
      <c r="AO21">
        <v>0</v>
      </c>
      <c r="AP21">
        <v>10</v>
      </c>
      <c r="AQ21">
        <v>0</v>
      </c>
      <c r="AR21">
        <v>0</v>
      </c>
      <c r="AS21" t="s">
        <v>59</v>
      </c>
      <c r="AT21">
        <v>1</v>
      </c>
      <c r="AU21" t="s">
        <v>60</v>
      </c>
      <c r="AV21" t="s">
        <v>65</v>
      </c>
      <c r="AW21">
        <v>1</v>
      </c>
      <c r="AX21">
        <v>4</v>
      </c>
      <c r="AY21">
        <v>0</v>
      </c>
      <c r="AZ21">
        <v>0</v>
      </c>
      <c r="BA21">
        <v>100</v>
      </c>
      <c r="BB21">
        <v>100</v>
      </c>
      <c r="BC21">
        <v>100</v>
      </c>
      <c r="BD21">
        <v>100</v>
      </c>
      <c r="BE21">
        <v>1</v>
      </c>
      <c r="BF21">
        <v>15000</v>
      </c>
      <c r="BG21">
        <v>1000</v>
      </c>
      <c r="BH21" s="8">
        <f>Granger_Inventory[[#This Row],[land_extract]]*Lookups!$B$3</f>
        <v>21427.618862498482</v>
      </c>
      <c r="BI21" s="8">
        <f>IF(Granger_Inventory[[#This Row],[bldg_style]]="",0,Lookups!$B$2)</f>
        <v>29703.559000000001</v>
      </c>
      <c r="BJ21" s="8">
        <f>_xlfn.IFNA(VLOOKUP(Granger_Inventory[[#This Row],[quality]],Lookups!$H$2:$J$14,3,FALSE),0)</f>
        <v>56414</v>
      </c>
      <c r="BK21" s="8">
        <f>_xlfn.IFNA(VLOOKUP(Granger_Inventory[[#This Row],[condition]],Lookups!$H$17:$J$24,3,FALSE),0)</f>
        <v>80695</v>
      </c>
      <c r="BL21" s="8">
        <f>Granger_Inventory[[#This Row],[Age]]*Lookups!$B$16</f>
        <v>-3317.2975999999999</v>
      </c>
      <c r="BM21" s="8">
        <f>Granger_Inventory[[#This Row],[living_area]]*Lookups!$B$17</f>
        <v>110327.57076</v>
      </c>
      <c r="BN21" s="8">
        <f>(Granger_Inventory[[#This Row],[att_gar]]+Granger_Inventory[[#This Row],[blt_gar]])*Lookups!$B$18</f>
        <v>21316.937839999999</v>
      </c>
      <c r="BO21" s="8">
        <f>Granger_Inventory[[#This Row],[Patio]]*Lookups!$B$19</f>
        <v>5431.5095999999994</v>
      </c>
      <c r="BP21" s="8">
        <f>SUM(Granger_Inventory[[#This Row],[Intercept]:[Patio_Value]])*Granger_Inventory[[#This Row],[res_pct]]</f>
        <v>300571.27960000001</v>
      </c>
      <c r="BQ21" s="8">
        <f>Granger_Inventory[[#This Row],[land_value]]</f>
        <v>21427.618862498482</v>
      </c>
      <c r="BR21" s="4">
        <f>_xlfn.IFNA(VLOOKUP(Granger_Inventory[[#This Row],[quality]],Lookups!$A$25:$C$35,3,FALSE),1)</f>
        <v>0.98791809110152173</v>
      </c>
      <c r="BS21" s="4">
        <f>_xlfn.IFNA(VLOOKUP(Granger_Inventory[[#This Row],[condition]],Lookups!$A$38:$C$45,3,FALSE),1)</f>
        <v>0.99484195314749324</v>
      </c>
      <c r="BT21" s="4">
        <f>IF(Granger_Inventory[[#This Row],[decade]]="",1,_xlfn.IFNA(VLOOKUP(Granger_Inventory[[#This Row],[decade]],Lookups!$G$28:$I$42,3,FALSE),1))</f>
        <v>1.0159161060824455</v>
      </c>
      <c r="BU21" s="4">
        <f>_xlfn.IFNA(VLOOKUP(Granger_Inventory[[#This Row],[living_area_range]],Lookups!$A$48:$C$57,3,FALSE),1)</f>
        <v>0.97860968051050168</v>
      </c>
      <c r="BV21" s="4">
        <f>AVERAGE(Granger_Inventory[[#This Row],[qual_adj]:[living_range_adj]])</f>
        <v>0.99432145771049063</v>
      </c>
      <c r="BW21" s="8">
        <f>(Granger_Inventory[[#This Row],[sum_land]]-IF(Granger_Inventory[[#This Row],[no_utilities]]=1,12000,0))/IF(Granger_Inventory[[#This Row],[unbuildable]]=1,2,1)</f>
        <v>21427.618862498482</v>
      </c>
      <c r="BX21" s="8">
        <f>Granger_Inventory[[#This Row],[pre_res]]*Granger_Inventory[[#This Row],[overall_adj]]</f>
        <v>298864.47287777945</v>
      </c>
      <c r="BY2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1">
        <f>ROUND(Granger_Inventory[[#This Row],[detatched_value]]*Lookups!$I$45,-2)</f>
        <v>0</v>
      </c>
      <c r="CA21">
        <f>IF(ROUND(Granger_Inventory[[#This Row],[adj_res]]*Lookups!$I$45,-2)&lt;Granger_Inventory[[#This Row],[min_res]],Granger_Inventory[[#This Row],[min_res]],ROUND(Granger_Inventory[[#This Row],[adj_res]]*Lookups!$I$45,-2))</f>
        <v>283900</v>
      </c>
      <c r="CB21">
        <f>Granger_Inventory[[#This Row],[final_det]]+Granger_Inventory[[#This Row],[final_res]]</f>
        <v>283900</v>
      </c>
      <c r="CC21">
        <f>Granger_Inventory[[#This Row],[final_land]]+Granger_Inventory[[#This Row],[final_imp]]+Granger_Inventory[[#This Row],[crop_value]]</f>
        <v>304300</v>
      </c>
      <c r="CE21" t="str">
        <f t="shared" si="0"/>
        <v>update valuation set market_land =20400, market_bldg=283900, market_total =304300, market_mdno =402, market_date ='9/10/2023' where link_id = (select link_id from parcel where parcel_year = '2024' and parcel_id = '21101531420');</v>
      </c>
    </row>
    <row r="22" spans="1:83" x14ac:dyDescent="0.25">
      <c r="A22">
        <v>21101531422</v>
      </c>
      <c r="B22">
        <v>0.15</v>
      </c>
      <c r="C22">
        <v>6699</v>
      </c>
      <c r="D22" t="s">
        <v>137</v>
      </c>
      <c r="E22" t="s">
        <v>54</v>
      </c>
      <c r="F22" t="s">
        <v>54</v>
      </c>
      <c r="G22">
        <v>3</v>
      </c>
      <c r="H22" t="s">
        <v>55</v>
      </c>
      <c r="I22">
        <v>208200</v>
      </c>
      <c r="J22">
        <v>26300</v>
      </c>
      <c r="K22">
        <v>0.15</v>
      </c>
      <c r="L22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2">
        <v>0</v>
      </c>
      <c r="N22">
        <v>0</v>
      </c>
      <c r="O22">
        <v>0</v>
      </c>
      <c r="P22">
        <v>47108.068500000001</v>
      </c>
      <c r="Q22">
        <v>122298</v>
      </c>
      <c r="R22">
        <f>(Granger_Inventory[[#This Row],[ln_acres]]*Granger_Inventory[[#This Row],[coeff]])+Granger_Inventory[[#This Row],[const]]</f>
        <v>32928.341799276939</v>
      </c>
      <c r="S22" t="s">
        <v>56</v>
      </c>
      <c r="T22">
        <v>1</v>
      </c>
      <c r="U22" t="s">
        <v>64</v>
      </c>
      <c r="V22" t="s">
        <v>72</v>
      </c>
      <c r="W22">
        <v>0</v>
      </c>
      <c r="X22">
        <v>0</v>
      </c>
      <c r="Y22">
        <v>21</v>
      </c>
      <c r="Z22">
        <v>21</v>
      </c>
      <c r="AA22">
        <v>30</v>
      </c>
      <c r="AB22">
        <v>1500</v>
      </c>
      <c r="AC22">
        <v>1160</v>
      </c>
      <c r="AD22">
        <v>1160</v>
      </c>
      <c r="AE22">
        <v>0</v>
      </c>
      <c r="AF22">
        <v>0</v>
      </c>
      <c r="AG22">
        <v>0</v>
      </c>
      <c r="AH22">
        <v>0</v>
      </c>
      <c r="AI22">
        <v>325</v>
      </c>
      <c r="AJ22">
        <v>0</v>
      </c>
      <c r="AK22">
        <v>0</v>
      </c>
      <c r="AL22">
        <v>0</v>
      </c>
      <c r="AM22">
        <v>100</v>
      </c>
      <c r="AN22">
        <v>145</v>
      </c>
      <c r="AO22">
        <v>0</v>
      </c>
      <c r="AP22">
        <v>8</v>
      </c>
      <c r="AQ22">
        <v>0</v>
      </c>
      <c r="AR22">
        <v>0</v>
      </c>
      <c r="AS22" t="s">
        <v>59</v>
      </c>
      <c r="AT22">
        <v>1</v>
      </c>
      <c r="AU22" t="s">
        <v>63</v>
      </c>
      <c r="AV22" t="s">
        <v>65</v>
      </c>
      <c r="AW22">
        <v>1</v>
      </c>
      <c r="AX22">
        <v>3</v>
      </c>
      <c r="AY22">
        <v>0</v>
      </c>
      <c r="AZ22">
        <v>0</v>
      </c>
      <c r="BA22">
        <v>100</v>
      </c>
      <c r="BB22">
        <v>100</v>
      </c>
      <c r="BC22">
        <v>100</v>
      </c>
      <c r="BD22">
        <v>100</v>
      </c>
      <c r="BE22">
        <v>1</v>
      </c>
      <c r="BF22">
        <v>15000</v>
      </c>
      <c r="BG22">
        <v>1000</v>
      </c>
      <c r="BH22" s="8">
        <f>Granger_Inventory[[#This Row],[land_extract]]*Lookups!$B$3</f>
        <v>19616.42740275669</v>
      </c>
      <c r="BI22" s="8">
        <f>IF(Granger_Inventory[[#This Row],[bldg_style]]="",0,Lookups!$B$2)</f>
        <v>29703.559000000001</v>
      </c>
      <c r="BJ22" s="8">
        <f>_xlfn.IFNA(VLOOKUP(Granger_Inventory[[#This Row],[quality]],Lookups!$H$2:$J$14,3,FALSE),0)</f>
        <v>36568</v>
      </c>
      <c r="BK22" s="8">
        <f>_xlfn.IFNA(VLOOKUP(Granger_Inventory[[#This Row],[condition]],Lookups!$H$17:$J$24,3,FALSE),0)</f>
        <v>94106</v>
      </c>
      <c r="BL22" s="8">
        <f>Granger_Inventory[[#This Row],[Age]]*Lookups!$B$16</f>
        <v>-4353.9530999999997</v>
      </c>
      <c r="BM22" s="8">
        <f>Granger_Inventory[[#This Row],[living_area]]*Lookups!$B$17</f>
        <v>78036.574439999997</v>
      </c>
      <c r="BN22" s="8">
        <f>(Granger_Inventory[[#This Row],[att_gar]]+Granger_Inventory[[#This Row],[blt_gar]])*Lookups!$B$18</f>
        <v>15745.46545</v>
      </c>
      <c r="BO22" s="8">
        <f>Granger_Inventory[[#This Row],[Patio]]*Lookups!$B$19</f>
        <v>5431.5095999999994</v>
      </c>
      <c r="BP22" s="8">
        <f>SUM(Granger_Inventory[[#This Row],[Intercept]:[Patio_Value]])*Granger_Inventory[[#This Row],[res_pct]]</f>
        <v>255237.15538999997</v>
      </c>
      <c r="BQ22" s="8">
        <f>Granger_Inventory[[#This Row],[land_value]]</f>
        <v>19616.42740275669</v>
      </c>
      <c r="BR22" s="4">
        <f>_xlfn.IFNA(VLOOKUP(Granger_Inventory[[#This Row],[quality]],Lookups!$A$25:$C$35,3,FALSE),1)</f>
        <v>0.99049976351917957</v>
      </c>
      <c r="BS22" s="4">
        <f>_xlfn.IFNA(VLOOKUP(Granger_Inventory[[#This Row],[condition]],Lookups!$A$38:$C$45,3,FALSE),1)</f>
        <v>0.98658583151544277</v>
      </c>
      <c r="BT22" s="4">
        <f>IF(Granger_Inventory[[#This Row],[decade]]="",1,_xlfn.IFNA(VLOOKUP(Granger_Inventory[[#This Row],[decade]],Lookups!$G$28:$I$42,3,FALSE),1))</f>
        <v>1.0539470644652671</v>
      </c>
      <c r="BU22" s="4">
        <f>_xlfn.IFNA(VLOOKUP(Granger_Inventory[[#This Row],[living_area_range]],Lookups!$A$48:$C$57,3,FALSE),1)</f>
        <v>0.97960506760539345</v>
      </c>
      <c r="BV22" s="4">
        <f>AVERAGE(Granger_Inventory[[#This Row],[qual_adj]:[living_range_adj]])</f>
        <v>1.0026594317763207</v>
      </c>
      <c r="BW22" s="8">
        <f>(Granger_Inventory[[#This Row],[sum_land]]-IF(Granger_Inventory[[#This Row],[no_utilities]]=1,12000,0))/IF(Granger_Inventory[[#This Row],[unbuildable]]=1,2,1)</f>
        <v>19616.42740275669</v>
      </c>
      <c r="BX22" s="8">
        <f>Granger_Inventory[[#This Row],[pre_res]]*Granger_Inventory[[#This Row],[overall_adj]]</f>
        <v>255915.94119154185</v>
      </c>
      <c r="BY22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2">
        <f>ROUND(Granger_Inventory[[#This Row],[detatched_value]]*Lookups!$I$45,-2)</f>
        <v>0</v>
      </c>
      <c r="CA22">
        <f>IF(ROUND(Granger_Inventory[[#This Row],[adj_res]]*Lookups!$I$45,-2)&lt;Granger_Inventory[[#This Row],[min_res]],Granger_Inventory[[#This Row],[min_res]],ROUND(Granger_Inventory[[#This Row],[adj_res]]*Lookups!$I$45,-2))</f>
        <v>243100</v>
      </c>
      <c r="CB22">
        <f>Granger_Inventory[[#This Row],[final_det]]+Granger_Inventory[[#This Row],[final_res]]</f>
        <v>243100</v>
      </c>
      <c r="CC22">
        <f>Granger_Inventory[[#This Row],[final_land]]+Granger_Inventory[[#This Row],[final_imp]]+Granger_Inventory[[#This Row],[crop_value]]</f>
        <v>261700</v>
      </c>
      <c r="CE22" t="str">
        <f t="shared" si="0"/>
        <v>update valuation set market_land =18600, market_bldg=243100, market_total =261700, market_mdno =402, market_date ='9/10/2023' where link_id = (select link_id from parcel where parcel_year = '2024' and parcel_id = '21101531422');</v>
      </c>
    </row>
    <row r="23" spans="1:83" x14ac:dyDescent="0.25">
      <c r="A23">
        <v>21101531423</v>
      </c>
      <c r="B23">
        <v>0.18</v>
      </c>
      <c r="C23">
        <v>7675</v>
      </c>
      <c r="D23" t="s">
        <v>137</v>
      </c>
      <c r="E23" t="s">
        <v>54</v>
      </c>
      <c r="F23" t="s">
        <v>54</v>
      </c>
      <c r="G23">
        <v>3</v>
      </c>
      <c r="H23" t="s">
        <v>55</v>
      </c>
      <c r="I23">
        <v>201700</v>
      </c>
      <c r="J23">
        <v>27400</v>
      </c>
      <c r="K23">
        <v>0.18</v>
      </c>
      <c r="L23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23">
        <v>0</v>
      </c>
      <c r="N23">
        <v>0</v>
      </c>
      <c r="O23">
        <v>0</v>
      </c>
      <c r="P23">
        <v>47108.068500000001</v>
      </c>
      <c r="Q23">
        <v>122298</v>
      </c>
      <c r="R23">
        <f>(Granger_Inventory[[#This Row],[ln_acres]]*Granger_Inventory[[#This Row],[coeff]])+Granger_Inventory[[#This Row],[const]]</f>
        <v>41517.1581857532</v>
      </c>
      <c r="S23" t="s">
        <v>56</v>
      </c>
      <c r="T23">
        <v>1</v>
      </c>
      <c r="U23" t="s">
        <v>64</v>
      </c>
      <c r="V23" t="s">
        <v>72</v>
      </c>
      <c r="W23">
        <v>0</v>
      </c>
      <c r="X23">
        <v>0</v>
      </c>
      <c r="Y23">
        <v>21</v>
      </c>
      <c r="Z23">
        <v>21</v>
      </c>
      <c r="AA23">
        <v>30</v>
      </c>
      <c r="AB23">
        <v>1500</v>
      </c>
      <c r="AC23">
        <v>1080</v>
      </c>
      <c r="AD23">
        <v>1080</v>
      </c>
      <c r="AE23">
        <v>0</v>
      </c>
      <c r="AF23">
        <v>0</v>
      </c>
      <c r="AG23">
        <v>0</v>
      </c>
      <c r="AH23">
        <v>0</v>
      </c>
      <c r="AI23">
        <v>312</v>
      </c>
      <c r="AJ23">
        <v>0</v>
      </c>
      <c r="AK23">
        <v>0</v>
      </c>
      <c r="AL23">
        <v>0</v>
      </c>
      <c r="AM23">
        <v>0</v>
      </c>
      <c r="AN23">
        <v>99</v>
      </c>
      <c r="AO23">
        <v>0</v>
      </c>
      <c r="AP23">
        <v>8</v>
      </c>
      <c r="AQ23">
        <v>0</v>
      </c>
      <c r="AR23">
        <v>0</v>
      </c>
      <c r="AS23" t="s">
        <v>59</v>
      </c>
      <c r="AT23">
        <v>1</v>
      </c>
      <c r="AU23" t="s">
        <v>60</v>
      </c>
      <c r="AV23" t="s">
        <v>65</v>
      </c>
      <c r="AW23">
        <v>1</v>
      </c>
      <c r="AX23">
        <v>3</v>
      </c>
      <c r="AY23">
        <v>0</v>
      </c>
      <c r="AZ23">
        <v>0</v>
      </c>
      <c r="BA23">
        <v>100</v>
      </c>
      <c r="BB23">
        <v>100</v>
      </c>
      <c r="BC23">
        <v>100</v>
      </c>
      <c r="BD23">
        <v>100</v>
      </c>
      <c r="BE23">
        <v>1</v>
      </c>
      <c r="BF23">
        <v>15000</v>
      </c>
      <c r="BG23">
        <v>1000</v>
      </c>
      <c r="BH23" s="8">
        <f>Granger_Inventory[[#This Row],[land_extract]]*Lookups!$B$3</f>
        <v>24733.049859725303</v>
      </c>
      <c r="BI23" s="8">
        <f>IF(Granger_Inventory[[#This Row],[bldg_style]]="",0,Lookups!$B$2)</f>
        <v>29703.559000000001</v>
      </c>
      <c r="BJ23" s="8">
        <f>_xlfn.IFNA(VLOOKUP(Granger_Inventory[[#This Row],[quality]],Lookups!$H$2:$J$14,3,FALSE),0)</f>
        <v>36568</v>
      </c>
      <c r="BK23" s="8">
        <f>_xlfn.IFNA(VLOOKUP(Granger_Inventory[[#This Row],[condition]],Lookups!$H$17:$J$24,3,FALSE),0)</f>
        <v>94106</v>
      </c>
      <c r="BL23" s="8">
        <f>Granger_Inventory[[#This Row],[Age]]*Lookups!$B$16</f>
        <v>-4353.9530999999997</v>
      </c>
      <c r="BM23" s="8">
        <f>Granger_Inventory[[#This Row],[living_area]]*Lookups!$B$17</f>
        <v>72654.741720000005</v>
      </c>
      <c r="BN23" s="8">
        <f>(Granger_Inventory[[#This Row],[att_gar]]+Granger_Inventory[[#This Row],[blt_gar]])*Lookups!$B$18</f>
        <v>15115.646832</v>
      </c>
      <c r="BO23" s="8">
        <f>Granger_Inventory[[#This Row],[Patio]]*Lookups!$B$19</f>
        <v>0</v>
      </c>
      <c r="BP23" s="8">
        <f>SUM(Granger_Inventory[[#This Row],[Intercept]:[Patio_Value]])*Granger_Inventory[[#This Row],[res_pct]]</f>
        <v>243793.99445200001</v>
      </c>
      <c r="BQ23" s="8">
        <f>Granger_Inventory[[#This Row],[land_value]]</f>
        <v>24733.049859725303</v>
      </c>
      <c r="BR23" s="4">
        <f>_xlfn.IFNA(VLOOKUP(Granger_Inventory[[#This Row],[quality]],Lookups!$A$25:$C$35,3,FALSE),1)</f>
        <v>0.99049976351917957</v>
      </c>
      <c r="BS23" s="4">
        <f>_xlfn.IFNA(VLOOKUP(Granger_Inventory[[#This Row],[condition]],Lookups!$A$38:$C$45,3,FALSE),1)</f>
        <v>0.98658583151544277</v>
      </c>
      <c r="BT23" s="4">
        <f>IF(Granger_Inventory[[#This Row],[decade]]="",1,_xlfn.IFNA(VLOOKUP(Granger_Inventory[[#This Row],[decade]],Lookups!$G$28:$I$42,3,FALSE),1))</f>
        <v>1.0539470644652671</v>
      </c>
      <c r="BU23" s="4">
        <f>_xlfn.IFNA(VLOOKUP(Granger_Inventory[[#This Row],[living_area_range]],Lookups!$A$48:$C$57,3,FALSE),1)</f>
        <v>0.97960506760539345</v>
      </c>
      <c r="BV23" s="4">
        <f>AVERAGE(Granger_Inventory[[#This Row],[qual_adj]:[living_range_adj]])</f>
        <v>1.0026594317763207</v>
      </c>
      <c r="BW23" s="8">
        <f>(Granger_Inventory[[#This Row],[sum_land]]-IF(Granger_Inventory[[#This Row],[no_utilities]]=1,12000,0))/IF(Granger_Inventory[[#This Row],[unbuildable]]=1,2,1)</f>
        <v>24733.049859725303</v>
      </c>
      <c r="BX23" s="8">
        <f>Granger_Inventory[[#This Row],[pre_res]]*Granger_Inventory[[#This Row],[overall_adj]]</f>
        <v>244442.34794772181</v>
      </c>
      <c r="BY23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23">
        <f>ROUND(Granger_Inventory[[#This Row],[detatched_value]]*Lookups!$I$45,-2)</f>
        <v>0</v>
      </c>
      <c r="CA23">
        <f>IF(ROUND(Granger_Inventory[[#This Row],[adj_res]]*Lookups!$I$45,-2)&lt;Granger_Inventory[[#This Row],[min_res]],Granger_Inventory[[#This Row],[min_res]],ROUND(Granger_Inventory[[#This Row],[adj_res]]*Lookups!$I$45,-2))</f>
        <v>232200</v>
      </c>
      <c r="CB23">
        <f>Granger_Inventory[[#This Row],[final_det]]+Granger_Inventory[[#This Row],[final_res]]</f>
        <v>232200</v>
      </c>
      <c r="CC23">
        <f>Granger_Inventory[[#This Row],[final_land]]+Granger_Inventory[[#This Row],[final_imp]]+Granger_Inventory[[#This Row],[crop_value]]</f>
        <v>255700</v>
      </c>
      <c r="CE23" t="str">
        <f t="shared" si="0"/>
        <v>update valuation set market_land =23500, market_bldg=232200, market_total =255700, market_mdno =402, market_date ='9/10/2023' where link_id = (select link_id from parcel where parcel_year = '2024' and parcel_id = '21101531423');</v>
      </c>
    </row>
    <row r="24" spans="1:83" x14ac:dyDescent="0.25">
      <c r="A24">
        <v>21101531424</v>
      </c>
      <c r="B24">
        <v>0.15</v>
      </c>
      <c r="C24">
        <v>6711</v>
      </c>
      <c r="D24" t="s">
        <v>137</v>
      </c>
      <c r="E24" t="s">
        <v>54</v>
      </c>
      <c r="F24" t="s">
        <v>54</v>
      </c>
      <c r="G24">
        <v>3</v>
      </c>
      <c r="H24" t="s">
        <v>55</v>
      </c>
      <c r="I24">
        <v>260200</v>
      </c>
      <c r="J24">
        <v>26300</v>
      </c>
      <c r="K24">
        <v>0.15</v>
      </c>
      <c r="L2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4">
        <v>0</v>
      </c>
      <c r="N24">
        <v>0</v>
      </c>
      <c r="O24">
        <v>0</v>
      </c>
      <c r="P24">
        <v>47108.068500000001</v>
      </c>
      <c r="Q24">
        <v>122298</v>
      </c>
      <c r="R24">
        <f>(Granger_Inventory[[#This Row],[ln_acres]]*Granger_Inventory[[#This Row],[coeff]])+Granger_Inventory[[#This Row],[const]]</f>
        <v>32928.341799276939</v>
      </c>
      <c r="S24" t="s">
        <v>62</v>
      </c>
      <c r="T24">
        <v>2</v>
      </c>
      <c r="U24" t="s">
        <v>64</v>
      </c>
      <c r="V24" t="s">
        <v>58</v>
      </c>
      <c r="W24">
        <v>0</v>
      </c>
      <c r="X24">
        <v>0</v>
      </c>
      <c r="Y24">
        <v>10</v>
      </c>
      <c r="Z24">
        <v>10</v>
      </c>
      <c r="AA24">
        <v>10</v>
      </c>
      <c r="AB24">
        <v>1500</v>
      </c>
      <c r="AC24">
        <v>1320</v>
      </c>
      <c r="AD24">
        <v>660</v>
      </c>
      <c r="AE24">
        <v>660</v>
      </c>
      <c r="AF24">
        <v>0</v>
      </c>
      <c r="AG24">
        <v>0</v>
      </c>
      <c r="AH24">
        <v>0</v>
      </c>
      <c r="AI24">
        <v>460</v>
      </c>
      <c r="AJ24">
        <v>0</v>
      </c>
      <c r="AK24">
        <v>0</v>
      </c>
      <c r="AL24">
        <v>0</v>
      </c>
      <c r="AM24">
        <v>72</v>
      </c>
      <c r="AN24">
        <v>0</v>
      </c>
      <c r="AO24">
        <v>0</v>
      </c>
      <c r="AP24">
        <v>8</v>
      </c>
      <c r="AQ24">
        <v>0</v>
      </c>
      <c r="AR24">
        <v>0</v>
      </c>
      <c r="AS24" t="s">
        <v>59</v>
      </c>
      <c r="AT24">
        <v>1</v>
      </c>
      <c r="AU24" t="s">
        <v>60</v>
      </c>
      <c r="AV24" t="s">
        <v>65</v>
      </c>
      <c r="AW24">
        <v>1</v>
      </c>
      <c r="AX24">
        <v>3</v>
      </c>
      <c r="AY24">
        <v>0</v>
      </c>
      <c r="AZ24">
        <v>0</v>
      </c>
      <c r="BA24">
        <v>100</v>
      </c>
      <c r="BB24">
        <v>100</v>
      </c>
      <c r="BC24">
        <v>100</v>
      </c>
      <c r="BD24">
        <v>100</v>
      </c>
      <c r="BE24">
        <v>1</v>
      </c>
      <c r="BF24">
        <v>15000</v>
      </c>
      <c r="BG24">
        <v>1000</v>
      </c>
      <c r="BH24" s="8">
        <f>Granger_Inventory[[#This Row],[land_extract]]*Lookups!$B$3</f>
        <v>19616.42740275669</v>
      </c>
      <c r="BI24" s="8">
        <f>IF(Granger_Inventory[[#This Row],[bldg_style]]="",0,Lookups!$B$2)</f>
        <v>29703.559000000001</v>
      </c>
      <c r="BJ24" s="8">
        <f>_xlfn.IFNA(VLOOKUP(Granger_Inventory[[#This Row],[quality]],Lookups!$H$2:$J$14,3,FALSE),0)</f>
        <v>36568</v>
      </c>
      <c r="BK24" s="8">
        <f>_xlfn.IFNA(VLOOKUP(Granger_Inventory[[#This Row],[condition]],Lookups!$H$17:$J$24,3,FALSE),0)</f>
        <v>101774</v>
      </c>
      <c r="BL24" s="8">
        <f>Granger_Inventory[[#This Row],[Age]]*Lookups!$B$16</f>
        <v>-2073.3109999999997</v>
      </c>
      <c r="BM24" s="8">
        <f>Granger_Inventory[[#This Row],[living_area]]*Lookups!$B$17</f>
        <v>88800.239879999994</v>
      </c>
      <c r="BN24" s="8">
        <f>(Granger_Inventory[[#This Row],[att_gar]]+Granger_Inventory[[#This Row],[blt_gar]])*Lookups!$B$18</f>
        <v>22285.88956</v>
      </c>
      <c r="BO24" s="8">
        <f>Granger_Inventory[[#This Row],[Patio]]*Lookups!$B$19</f>
        <v>3910.6869119999997</v>
      </c>
      <c r="BP24" s="8">
        <f>SUM(Granger_Inventory[[#This Row],[Intercept]:[Patio_Value]])*Granger_Inventory[[#This Row],[res_pct]]</f>
        <v>280969.06435200002</v>
      </c>
      <c r="BQ24" s="8">
        <f>Granger_Inventory[[#This Row],[land_value]]</f>
        <v>19616.42740275669</v>
      </c>
      <c r="BR24" s="4">
        <f>_xlfn.IFNA(VLOOKUP(Granger_Inventory[[#This Row],[quality]],Lookups!$A$25:$C$35,3,FALSE),1)</f>
        <v>0.99049976351917957</v>
      </c>
      <c r="BS24" s="4">
        <f>_xlfn.IFNA(VLOOKUP(Granger_Inventory[[#This Row],[condition]],Lookups!$A$38:$C$45,3,FALSE),1)</f>
        <v>0.99135053432734199</v>
      </c>
      <c r="BT24" s="4">
        <f>IF(Granger_Inventory[[#This Row],[decade]]="",1,_xlfn.IFNA(VLOOKUP(Granger_Inventory[[#This Row],[decade]],Lookups!$G$28:$I$42,3,FALSE),1))</f>
        <v>0.95532362136731586</v>
      </c>
      <c r="BU24" s="4">
        <f>_xlfn.IFNA(VLOOKUP(Granger_Inventory[[#This Row],[living_area_range]],Lookups!$A$48:$C$57,3,FALSE),1)</f>
        <v>0.97960506760539345</v>
      </c>
      <c r="BV24" s="4">
        <f>AVERAGE(Granger_Inventory[[#This Row],[qual_adj]:[living_range_adj]])</f>
        <v>0.97919474670480777</v>
      </c>
      <c r="BW24" s="8">
        <f>(Granger_Inventory[[#This Row],[sum_land]]-IF(Granger_Inventory[[#This Row],[no_utilities]]=1,12000,0))/IF(Granger_Inventory[[#This Row],[unbuildable]]=1,2,1)</f>
        <v>19616.42740275669</v>
      </c>
      <c r="BX24" s="8">
        <f>Granger_Inventory[[#This Row],[pre_res]]*Granger_Inventory[[#This Row],[overall_adj]]</f>
        <v>275123.4318000435</v>
      </c>
      <c r="BY2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4">
        <f>ROUND(Granger_Inventory[[#This Row],[detatched_value]]*Lookups!$I$45,-2)</f>
        <v>0</v>
      </c>
      <c r="CA24">
        <f>IF(ROUND(Granger_Inventory[[#This Row],[adj_res]]*Lookups!$I$45,-2)&lt;Granger_Inventory[[#This Row],[min_res]],Granger_Inventory[[#This Row],[min_res]],ROUND(Granger_Inventory[[#This Row],[adj_res]]*Lookups!$I$45,-2))</f>
        <v>261400</v>
      </c>
      <c r="CB24">
        <f>Granger_Inventory[[#This Row],[final_det]]+Granger_Inventory[[#This Row],[final_res]]</f>
        <v>261400</v>
      </c>
      <c r="CC24">
        <f>Granger_Inventory[[#This Row],[final_land]]+Granger_Inventory[[#This Row],[final_imp]]+Granger_Inventory[[#This Row],[crop_value]]</f>
        <v>280000</v>
      </c>
      <c r="CE24" t="str">
        <f t="shared" si="0"/>
        <v>update valuation set market_land =18600, market_bldg=261400, market_total =280000, market_mdno =402, market_date ='9/10/2023' where link_id = (select link_id from parcel where parcel_year = '2024' and parcel_id = '21101531424');</v>
      </c>
    </row>
    <row r="25" spans="1:83" x14ac:dyDescent="0.25">
      <c r="A25">
        <v>21101531425</v>
      </c>
      <c r="B25">
        <v>0.16</v>
      </c>
      <c r="C25">
        <v>6800</v>
      </c>
      <c r="D25" t="s">
        <v>137</v>
      </c>
      <c r="E25" t="s">
        <v>54</v>
      </c>
      <c r="F25" t="s">
        <v>54</v>
      </c>
      <c r="G25">
        <v>3</v>
      </c>
      <c r="H25" t="s">
        <v>55</v>
      </c>
      <c r="I25">
        <v>250200</v>
      </c>
      <c r="J25">
        <v>26700</v>
      </c>
      <c r="K25">
        <v>0.16</v>
      </c>
      <c r="L25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5">
        <v>0</v>
      </c>
      <c r="N25">
        <v>0</v>
      </c>
      <c r="O25">
        <v>0</v>
      </c>
      <c r="P25">
        <v>47108.068500000001</v>
      </c>
      <c r="Q25">
        <v>122298</v>
      </c>
      <c r="R25">
        <f>(Granger_Inventory[[#This Row],[ln_acres]]*Granger_Inventory[[#This Row],[coeff]])+Granger_Inventory[[#This Row],[const]]</f>
        <v>35968.626873914327</v>
      </c>
      <c r="S25" t="s">
        <v>56</v>
      </c>
      <c r="T25">
        <v>1</v>
      </c>
      <c r="U25" t="s">
        <v>57</v>
      </c>
      <c r="V25" t="s">
        <v>58</v>
      </c>
      <c r="W25">
        <v>0</v>
      </c>
      <c r="X25">
        <v>0</v>
      </c>
      <c r="Y25">
        <v>10</v>
      </c>
      <c r="Z25">
        <v>10</v>
      </c>
      <c r="AA25">
        <v>10</v>
      </c>
      <c r="AB25">
        <v>1500</v>
      </c>
      <c r="AC25">
        <v>1152</v>
      </c>
      <c r="AD25">
        <v>1152</v>
      </c>
      <c r="AE25">
        <v>0</v>
      </c>
      <c r="AF25">
        <v>0</v>
      </c>
      <c r="AG25">
        <v>0</v>
      </c>
      <c r="AH25">
        <v>0</v>
      </c>
      <c r="AI25">
        <v>400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8</v>
      </c>
      <c r="AQ25">
        <v>0</v>
      </c>
      <c r="AR25">
        <v>0</v>
      </c>
      <c r="AS25" t="s">
        <v>59</v>
      </c>
      <c r="AT25">
        <v>1</v>
      </c>
      <c r="AU25" t="s">
        <v>60</v>
      </c>
      <c r="AV25" t="s">
        <v>65</v>
      </c>
      <c r="AW25">
        <v>1</v>
      </c>
      <c r="AX25">
        <v>3</v>
      </c>
      <c r="AY25">
        <v>0</v>
      </c>
      <c r="AZ25">
        <v>0</v>
      </c>
      <c r="BA25">
        <v>100</v>
      </c>
      <c r="BB25">
        <v>100</v>
      </c>
      <c r="BC25">
        <v>100</v>
      </c>
      <c r="BD25">
        <v>100</v>
      </c>
      <c r="BE25">
        <v>1</v>
      </c>
      <c r="BF25">
        <v>15000</v>
      </c>
      <c r="BG25">
        <v>1000</v>
      </c>
      <c r="BH25" s="8">
        <f>Granger_Inventory[[#This Row],[land_extract]]*Lookups!$B$3</f>
        <v>21427.618862498482</v>
      </c>
      <c r="BI25" s="8">
        <f>IF(Granger_Inventory[[#This Row],[bldg_style]]="",0,Lookups!$B$2)</f>
        <v>29703.559000000001</v>
      </c>
      <c r="BJ25" s="8">
        <f>_xlfn.IFNA(VLOOKUP(Granger_Inventory[[#This Row],[quality]],Lookups!$H$2:$J$14,3,FALSE),0)</f>
        <v>56414</v>
      </c>
      <c r="BK25" s="8">
        <f>_xlfn.IFNA(VLOOKUP(Granger_Inventory[[#This Row],[condition]],Lookups!$H$17:$J$24,3,FALSE),0)</f>
        <v>101774</v>
      </c>
      <c r="BL25" s="8">
        <f>Granger_Inventory[[#This Row],[Age]]*Lookups!$B$16</f>
        <v>-2073.3109999999997</v>
      </c>
      <c r="BM25" s="8">
        <f>Granger_Inventory[[#This Row],[living_area]]*Lookups!$B$17</f>
        <v>77498.391168000002</v>
      </c>
      <c r="BN25" s="8">
        <f>(Granger_Inventory[[#This Row],[att_gar]]+Granger_Inventory[[#This Row],[blt_gar]])*Lookups!$B$18</f>
        <v>19379.0344</v>
      </c>
      <c r="BO25" s="8">
        <f>Granger_Inventory[[#This Row],[Patio]]*Lookups!$B$19</f>
        <v>0</v>
      </c>
      <c r="BP25" s="8">
        <f>SUM(Granger_Inventory[[#This Row],[Intercept]:[Patio_Value]])*Granger_Inventory[[#This Row],[res_pct]]</f>
        <v>282695.67356800003</v>
      </c>
      <c r="BQ25" s="8">
        <f>Granger_Inventory[[#This Row],[land_value]]</f>
        <v>21427.618862498482</v>
      </c>
      <c r="BR25" s="4">
        <f>_xlfn.IFNA(VLOOKUP(Granger_Inventory[[#This Row],[quality]],Lookups!$A$25:$C$35,3,FALSE),1)</f>
        <v>0.98791809110152173</v>
      </c>
      <c r="BS25" s="4">
        <f>_xlfn.IFNA(VLOOKUP(Granger_Inventory[[#This Row],[condition]],Lookups!$A$38:$C$45,3,FALSE),1)</f>
        <v>0.99135053432734199</v>
      </c>
      <c r="BT25" s="4">
        <f>IF(Granger_Inventory[[#This Row],[decade]]="",1,_xlfn.IFNA(VLOOKUP(Granger_Inventory[[#This Row],[decade]],Lookups!$G$28:$I$42,3,FALSE),1))</f>
        <v>0.95532362136731586</v>
      </c>
      <c r="BU25" s="4">
        <f>_xlfn.IFNA(VLOOKUP(Granger_Inventory[[#This Row],[living_area_range]],Lookups!$A$48:$C$57,3,FALSE),1)</f>
        <v>0.97960506760539345</v>
      </c>
      <c r="BV25" s="4">
        <f>AVERAGE(Granger_Inventory[[#This Row],[qual_adj]:[living_range_adj]])</f>
        <v>0.97854932860039323</v>
      </c>
      <c r="BW25" s="8">
        <f>(Granger_Inventory[[#This Row],[sum_land]]-IF(Granger_Inventory[[#This Row],[no_utilities]]=1,12000,0))/IF(Granger_Inventory[[#This Row],[unbuildable]]=1,2,1)</f>
        <v>21427.618862498482</v>
      </c>
      <c r="BX25" s="8">
        <f>Granger_Inventory[[#This Row],[pre_res]]*Granger_Inventory[[#This Row],[overall_adj]]</f>
        <v>276631.66156820237</v>
      </c>
      <c r="BY25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5">
        <f>ROUND(Granger_Inventory[[#This Row],[detatched_value]]*Lookups!$I$45,-2)</f>
        <v>0</v>
      </c>
      <c r="CA25">
        <f>IF(ROUND(Granger_Inventory[[#This Row],[adj_res]]*Lookups!$I$45,-2)&lt;Granger_Inventory[[#This Row],[min_res]],Granger_Inventory[[#This Row],[min_res]],ROUND(Granger_Inventory[[#This Row],[adj_res]]*Lookups!$I$45,-2))</f>
        <v>262800</v>
      </c>
      <c r="CB25">
        <f>Granger_Inventory[[#This Row],[final_det]]+Granger_Inventory[[#This Row],[final_res]]</f>
        <v>262800</v>
      </c>
      <c r="CC25">
        <f>Granger_Inventory[[#This Row],[final_land]]+Granger_Inventory[[#This Row],[final_imp]]+Granger_Inventory[[#This Row],[crop_value]]</f>
        <v>283200</v>
      </c>
      <c r="CE25" t="str">
        <f t="shared" si="0"/>
        <v>update valuation set market_land =20400, market_bldg=262800, market_total =283200, market_mdno =402, market_date ='9/10/2023' where link_id = (select link_id from parcel where parcel_year = '2024' and parcel_id = '21101531425');</v>
      </c>
    </row>
    <row r="26" spans="1:83" x14ac:dyDescent="0.25">
      <c r="A26">
        <v>21101531426</v>
      </c>
      <c r="B26">
        <v>0.16</v>
      </c>
      <c r="C26">
        <v>6802</v>
      </c>
      <c r="D26" t="s">
        <v>137</v>
      </c>
      <c r="E26" t="s">
        <v>54</v>
      </c>
      <c r="F26" t="s">
        <v>54</v>
      </c>
      <c r="G26">
        <v>3</v>
      </c>
      <c r="H26" t="s">
        <v>55</v>
      </c>
      <c r="I26">
        <v>243900</v>
      </c>
      <c r="J26">
        <v>26700</v>
      </c>
      <c r="K26">
        <v>0.16</v>
      </c>
      <c r="L2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6">
        <v>0</v>
      </c>
      <c r="N26">
        <v>0</v>
      </c>
      <c r="O26">
        <v>0</v>
      </c>
      <c r="P26">
        <v>47108.068500000001</v>
      </c>
      <c r="Q26">
        <v>122298</v>
      </c>
      <c r="R26">
        <f>(Granger_Inventory[[#This Row],[ln_acres]]*Granger_Inventory[[#This Row],[coeff]])+Granger_Inventory[[#This Row],[const]]</f>
        <v>35968.626873914327</v>
      </c>
      <c r="S26" t="s">
        <v>56</v>
      </c>
      <c r="T26">
        <v>1</v>
      </c>
      <c r="U26" t="s">
        <v>64</v>
      </c>
      <c r="V26" t="s">
        <v>72</v>
      </c>
      <c r="W26">
        <v>0</v>
      </c>
      <c r="X26">
        <v>0</v>
      </c>
      <c r="Y26">
        <v>22</v>
      </c>
      <c r="Z26">
        <v>22</v>
      </c>
      <c r="AA26">
        <v>30</v>
      </c>
      <c r="AB26">
        <v>1500</v>
      </c>
      <c r="AC26">
        <v>1274</v>
      </c>
      <c r="AD26">
        <v>1274</v>
      </c>
      <c r="AE26">
        <v>0</v>
      </c>
      <c r="AF26">
        <v>0</v>
      </c>
      <c r="AG26">
        <v>0</v>
      </c>
      <c r="AH26">
        <v>0</v>
      </c>
      <c r="AI26">
        <v>416</v>
      </c>
      <c r="AJ26">
        <v>0</v>
      </c>
      <c r="AK26">
        <v>0</v>
      </c>
      <c r="AL26">
        <v>0</v>
      </c>
      <c r="AM26">
        <v>100</v>
      </c>
      <c r="AN26">
        <v>0</v>
      </c>
      <c r="AO26">
        <v>100</v>
      </c>
      <c r="AP26">
        <v>8</v>
      </c>
      <c r="AQ26">
        <v>0</v>
      </c>
      <c r="AR26">
        <v>0</v>
      </c>
      <c r="AS26" t="s">
        <v>59</v>
      </c>
      <c r="AT26">
        <v>1</v>
      </c>
      <c r="AU26" t="s">
        <v>60</v>
      </c>
      <c r="AV26" t="s">
        <v>65</v>
      </c>
      <c r="AW26">
        <v>1</v>
      </c>
      <c r="AX26">
        <v>4</v>
      </c>
      <c r="AY26">
        <v>0</v>
      </c>
      <c r="AZ26">
        <v>0</v>
      </c>
      <c r="BA26">
        <v>100</v>
      </c>
      <c r="BB26">
        <v>100</v>
      </c>
      <c r="BC26">
        <v>100</v>
      </c>
      <c r="BD26">
        <v>100</v>
      </c>
      <c r="BE26">
        <v>1</v>
      </c>
      <c r="BF26">
        <v>15000</v>
      </c>
      <c r="BG26">
        <v>1000</v>
      </c>
      <c r="BH26" s="8">
        <f>Granger_Inventory[[#This Row],[land_extract]]*Lookups!$B$3</f>
        <v>21427.618862498482</v>
      </c>
      <c r="BI26" s="8">
        <f>IF(Granger_Inventory[[#This Row],[bldg_style]]="",0,Lookups!$B$2)</f>
        <v>29703.559000000001</v>
      </c>
      <c r="BJ26" s="8">
        <f>_xlfn.IFNA(VLOOKUP(Granger_Inventory[[#This Row],[quality]],Lookups!$H$2:$J$14,3,FALSE),0)</f>
        <v>36568</v>
      </c>
      <c r="BK26" s="8">
        <f>_xlfn.IFNA(VLOOKUP(Granger_Inventory[[#This Row],[condition]],Lookups!$H$17:$J$24,3,FALSE),0)</f>
        <v>94106</v>
      </c>
      <c r="BL26" s="8">
        <f>Granger_Inventory[[#This Row],[Age]]*Lookups!$B$16</f>
        <v>-4561.2842000000001</v>
      </c>
      <c r="BM26" s="8">
        <f>Granger_Inventory[[#This Row],[living_area]]*Lookups!$B$17</f>
        <v>85705.686065999995</v>
      </c>
      <c r="BN26" s="8">
        <f>(Granger_Inventory[[#This Row],[att_gar]]+Granger_Inventory[[#This Row],[blt_gar]])*Lookups!$B$18</f>
        <v>20154.195776</v>
      </c>
      <c r="BO26" s="8">
        <f>Granger_Inventory[[#This Row],[Patio]]*Lookups!$B$19</f>
        <v>5431.5095999999994</v>
      </c>
      <c r="BP26" s="8">
        <f>SUM(Granger_Inventory[[#This Row],[Intercept]:[Patio_Value]])*Granger_Inventory[[#This Row],[res_pct]]</f>
        <v>267107.66624200001</v>
      </c>
      <c r="BQ26" s="8">
        <f>Granger_Inventory[[#This Row],[land_value]]</f>
        <v>21427.618862498482</v>
      </c>
      <c r="BR26" s="4">
        <f>_xlfn.IFNA(VLOOKUP(Granger_Inventory[[#This Row],[quality]],Lookups!$A$25:$C$35,3,FALSE),1)</f>
        <v>0.99049976351917957</v>
      </c>
      <c r="BS26" s="4">
        <f>_xlfn.IFNA(VLOOKUP(Granger_Inventory[[#This Row],[condition]],Lookups!$A$38:$C$45,3,FALSE),1)</f>
        <v>0.98658583151544277</v>
      </c>
      <c r="BT26" s="4">
        <f>IF(Granger_Inventory[[#This Row],[decade]]="",1,_xlfn.IFNA(VLOOKUP(Granger_Inventory[[#This Row],[decade]],Lookups!$G$28:$I$42,3,FALSE),1))</f>
        <v>1.0539470644652671</v>
      </c>
      <c r="BU26" s="4">
        <f>_xlfn.IFNA(VLOOKUP(Granger_Inventory[[#This Row],[living_area_range]],Lookups!$A$48:$C$57,3,FALSE),1)</f>
        <v>0.97960506760539345</v>
      </c>
      <c r="BV26" s="4">
        <f>AVERAGE(Granger_Inventory[[#This Row],[qual_adj]:[living_range_adj]])</f>
        <v>1.0026594317763207</v>
      </c>
      <c r="BW26" s="8">
        <f>(Granger_Inventory[[#This Row],[sum_land]]-IF(Granger_Inventory[[#This Row],[no_utilities]]=1,12000,0))/IF(Granger_Inventory[[#This Row],[unbuildable]]=1,2,1)</f>
        <v>21427.618862498482</v>
      </c>
      <c r="BX26" s="8">
        <f>Granger_Inventory[[#This Row],[pre_res]]*Granger_Inventory[[#This Row],[overall_adj]]</f>
        <v>267818.02085730282</v>
      </c>
      <c r="BY2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6">
        <f>ROUND(Granger_Inventory[[#This Row],[detatched_value]]*Lookups!$I$45,-2)</f>
        <v>0</v>
      </c>
      <c r="CA26">
        <f>IF(ROUND(Granger_Inventory[[#This Row],[adj_res]]*Lookups!$I$45,-2)&lt;Granger_Inventory[[#This Row],[min_res]],Granger_Inventory[[#This Row],[min_res]],ROUND(Granger_Inventory[[#This Row],[adj_res]]*Lookups!$I$45,-2))</f>
        <v>254400</v>
      </c>
      <c r="CB26">
        <f>Granger_Inventory[[#This Row],[final_det]]+Granger_Inventory[[#This Row],[final_res]]</f>
        <v>254400</v>
      </c>
      <c r="CC26">
        <f>Granger_Inventory[[#This Row],[final_land]]+Granger_Inventory[[#This Row],[final_imp]]+Granger_Inventory[[#This Row],[crop_value]]</f>
        <v>274800</v>
      </c>
      <c r="CE26" t="str">
        <f t="shared" si="0"/>
        <v>update valuation set market_land =20400, market_bldg=254400, market_total =274800, market_mdno =402, market_date ='9/10/2023' where link_id = (select link_id from parcel where parcel_year = '2024' and parcel_id = '21101531426');</v>
      </c>
    </row>
    <row r="27" spans="1:83" x14ac:dyDescent="0.25">
      <c r="A27">
        <v>21101531427</v>
      </c>
      <c r="B27">
        <v>0.16</v>
      </c>
      <c r="C27">
        <v>6791</v>
      </c>
      <c r="D27" t="s">
        <v>137</v>
      </c>
      <c r="E27" t="s">
        <v>54</v>
      </c>
      <c r="F27" t="s">
        <v>54</v>
      </c>
      <c r="G27">
        <v>3</v>
      </c>
      <c r="H27" t="s">
        <v>55</v>
      </c>
      <c r="I27">
        <v>152600</v>
      </c>
      <c r="J27">
        <v>26700</v>
      </c>
      <c r="K27">
        <v>0.16</v>
      </c>
      <c r="L27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7">
        <v>0</v>
      </c>
      <c r="N27">
        <v>0</v>
      </c>
      <c r="O27">
        <v>0</v>
      </c>
      <c r="P27">
        <v>47108.068500000001</v>
      </c>
      <c r="Q27">
        <v>122298</v>
      </c>
      <c r="R27">
        <f>(Granger_Inventory[[#This Row],[ln_acres]]*Granger_Inventory[[#This Row],[coeff]])+Granger_Inventory[[#This Row],[const]]</f>
        <v>35968.626873914327</v>
      </c>
      <c r="S27" t="s">
        <v>56</v>
      </c>
      <c r="T27">
        <v>1</v>
      </c>
      <c r="U27" t="s">
        <v>64</v>
      </c>
      <c r="V27" t="s">
        <v>77</v>
      </c>
      <c r="W27">
        <v>0</v>
      </c>
      <c r="X27">
        <v>0</v>
      </c>
      <c r="Y27">
        <v>22</v>
      </c>
      <c r="Z27">
        <v>22</v>
      </c>
      <c r="AA27">
        <v>30</v>
      </c>
      <c r="AB27">
        <v>1500</v>
      </c>
      <c r="AC27">
        <v>1008</v>
      </c>
      <c r="AD27">
        <v>1008</v>
      </c>
      <c r="AE27">
        <v>0</v>
      </c>
      <c r="AF27">
        <v>0</v>
      </c>
      <c r="AG27">
        <v>0</v>
      </c>
      <c r="AH27">
        <v>0</v>
      </c>
      <c r="AI27">
        <v>384</v>
      </c>
      <c r="AJ27">
        <v>0</v>
      </c>
      <c r="AK27">
        <v>0</v>
      </c>
      <c r="AL27">
        <v>0</v>
      </c>
      <c r="AM27">
        <v>224</v>
      </c>
      <c r="AN27">
        <v>0</v>
      </c>
      <c r="AO27">
        <v>0</v>
      </c>
      <c r="AP27">
        <v>8</v>
      </c>
      <c r="AQ27">
        <v>0</v>
      </c>
      <c r="AR27">
        <v>0</v>
      </c>
      <c r="AS27" t="s">
        <v>59</v>
      </c>
      <c r="AT27">
        <v>1</v>
      </c>
      <c r="AU27" t="s">
        <v>60</v>
      </c>
      <c r="AV27" t="s">
        <v>65</v>
      </c>
      <c r="AW27">
        <v>1</v>
      </c>
      <c r="AX27">
        <v>3</v>
      </c>
      <c r="AY27">
        <v>0</v>
      </c>
      <c r="AZ27">
        <v>0</v>
      </c>
      <c r="BA27">
        <v>100</v>
      </c>
      <c r="BB27">
        <v>100</v>
      </c>
      <c r="BC27">
        <v>100</v>
      </c>
      <c r="BD27">
        <v>100</v>
      </c>
      <c r="BE27">
        <v>1</v>
      </c>
      <c r="BF27">
        <v>15000</v>
      </c>
      <c r="BG27">
        <v>1000</v>
      </c>
      <c r="BH27" s="8">
        <f>Granger_Inventory[[#This Row],[land_extract]]*Lookups!$B$3</f>
        <v>21427.618862498482</v>
      </c>
      <c r="BI27" s="8">
        <f>IF(Granger_Inventory[[#This Row],[bldg_style]]="",0,Lookups!$B$2)</f>
        <v>29703.559000000001</v>
      </c>
      <c r="BJ27" s="8">
        <f>_xlfn.IFNA(VLOOKUP(Granger_Inventory[[#This Row],[quality]],Lookups!$H$2:$J$14,3,FALSE),0)</f>
        <v>36568</v>
      </c>
      <c r="BK27" s="8">
        <f>_xlfn.IFNA(VLOOKUP(Granger_Inventory[[#This Row],[condition]],Lookups!$H$17:$J$24,3,FALSE),0)</f>
        <v>33736</v>
      </c>
      <c r="BL27" s="8">
        <f>Granger_Inventory[[#This Row],[Age]]*Lookups!$B$16</f>
        <v>-4561.2842000000001</v>
      </c>
      <c r="BM27" s="8">
        <f>Granger_Inventory[[#This Row],[living_area]]*Lookups!$B$17</f>
        <v>67811.092271999994</v>
      </c>
      <c r="BN27" s="8">
        <f>(Granger_Inventory[[#This Row],[att_gar]]+Granger_Inventory[[#This Row],[blt_gar]])*Lookups!$B$18</f>
        <v>18603.873024</v>
      </c>
      <c r="BO27" s="8">
        <f>Granger_Inventory[[#This Row],[Patio]]*Lookups!$B$19</f>
        <v>12166.581504</v>
      </c>
      <c r="BP27" s="8">
        <f>SUM(Granger_Inventory[[#This Row],[Intercept]:[Patio_Value]])*Granger_Inventory[[#This Row],[res_pct]]</f>
        <v>194027.8216</v>
      </c>
      <c r="BQ27" s="8">
        <f>Granger_Inventory[[#This Row],[land_value]]</f>
        <v>21427.618862498482</v>
      </c>
      <c r="BR27" s="4">
        <f>_xlfn.IFNA(VLOOKUP(Granger_Inventory[[#This Row],[quality]],Lookups!$A$25:$C$35,3,FALSE),1)</f>
        <v>0.99049976351917957</v>
      </c>
      <c r="BS27" s="4">
        <f>_xlfn.IFNA(VLOOKUP(Granger_Inventory[[#This Row],[condition]],Lookups!$A$38:$C$45,3,FALSE),1)</f>
        <v>0.92294678898076177</v>
      </c>
      <c r="BT27" s="4">
        <f>IF(Granger_Inventory[[#This Row],[decade]]="",1,_xlfn.IFNA(VLOOKUP(Granger_Inventory[[#This Row],[decade]],Lookups!$G$28:$I$42,3,FALSE),1))</f>
        <v>1.0539470644652671</v>
      </c>
      <c r="BU27" s="4">
        <f>_xlfn.IFNA(VLOOKUP(Granger_Inventory[[#This Row],[living_area_range]],Lookups!$A$48:$C$57,3,FALSE),1)</f>
        <v>0.97960506760539345</v>
      </c>
      <c r="BV27" s="4">
        <f>AVERAGE(Granger_Inventory[[#This Row],[qual_adj]:[living_range_adj]])</f>
        <v>0.98674967114265044</v>
      </c>
      <c r="BW27" s="8">
        <f>(Granger_Inventory[[#This Row],[sum_land]]-IF(Granger_Inventory[[#This Row],[no_utilities]]=1,12000,0))/IF(Granger_Inventory[[#This Row],[unbuildable]]=1,2,1)</f>
        <v>21427.618862498482</v>
      </c>
      <c r="BX27" s="8">
        <f>Granger_Inventory[[#This Row],[pre_res]]*Granger_Inventory[[#This Row],[overall_adj]]</f>
        <v>191456.88915632485</v>
      </c>
      <c r="BY27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7">
        <f>ROUND(Granger_Inventory[[#This Row],[detatched_value]]*Lookups!$I$45,-2)</f>
        <v>0</v>
      </c>
      <c r="CA27">
        <f>IF(ROUND(Granger_Inventory[[#This Row],[adj_res]]*Lookups!$I$45,-2)&lt;Granger_Inventory[[#This Row],[min_res]],Granger_Inventory[[#This Row],[min_res]],ROUND(Granger_Inventory[[#This Row],[adj_res]]*Lookups!$I$45,-2))</f>
        <v>181900</v>
      </c>
      <c r="CB27">
        <f>Granger_Inventory[[#This Row],[final_det]]+Granger_Inventory[[#This Row],[final_res]]</f>
        <v>181900</v>
      </c>
      <c r="CC27">
        <f>Granger_Inventory[[#This Row],[final_land]]+Granger_Inventory[[#This Row],[final_imp]]+Granger_Inventory[[#This Row],[crop_value]]</f>
        <v>202300</v>
      </c>
      <c r="CE27" t="str">
        <f t="shared" si="0"/>
        <v>update valuation set market_land =20400, market_bldg=181900, market_total =202300, market_mdno =402, market_date ='9/10/2023' where link_id = (select link_id from parcel where parcel_year = '2024' and parcel_id = '21101531427');</v>
      </c>
    </row>
    <row r="28" spans="1:83" x14ac:dyDescent="0.25">
      <c r="A28">
        <v>21101531428</v>
      </c>
      <c r="B28">
        <v>0.16</v>
      </c>
      <c r="C28">
        <v>6802</v>
      </c>
      <c r="D28" t="s">
        <v>137</v>
      </c>
      <c r="E28" t="s">
        <v>54</v>
      </c>
      <c r="F28" t="s">
        <v>54</v>
      </c>
      <c r="G28">
        <v>3</v>
      </c>
      <c r="H28" t="s">
        <v>55</v>
      </c>
      <c r="I28">
        <v>295300</v>
      </c>
      <c r="J28">
        <v>26700</v>
      </c>
      <c r="K28">
        <v>0.16</v>
      </c>
      <c r="L2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8">
        <v>0</v>
      </c>
      <c r="N28">
        <v>0</v>
      </c>
      <c r="O28">
        <v>0</v>
      </c>
      <c r="P28">
        <v>47108.068500000001</v>
      </c>
      <c r="Q28">
        <v>122298</v>
      </c>
      <c r="R28">
        <f>(Granger_Inventory[[#This Row],[ln_acres]]*Granger_Inventory[[#This Row],[coeff]])+Granger_Inventory[[#This Row],[const]]</f>
        <v>35968.626873914327</v>
      </c>
      <c r="S28" t="s">
        <v>56</v>
      </c>
      <c r="T28">
        <v>1</v>
      </c>
      <c r="U28" t="s">
        <v>64</v>
      </c>
      <c r="V28" t="s">
        <v>70</v>
      </c>
      <c r="W28">
        <v>0</v>
      </c>
      <c r="X28">
        <v>0</v>
      </c>
      <c r="Y28">
        <v>22</v>
      </c>
      <c r="Z28">
        <v>22</v>
      </c>
      <c r="AA28">
        <v>30</v>
      </c>
      <c r="AB28">
        <v>2000</v>
      </c>
      <c r="AC28">
        <v>1690</v>
      </c>
      <c r="AD28">
        <v>1690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96</v>
      </c>
      <c r="AN28">
        <v>95</v>
      </c>
      <c r="AO28">
        <v>0</v>
      </c>
      <c r="AP28">
        <v>8</v>
      </c>
      <c r="AQ28">
        <v>0</v>
      </c>
      <c r="AR28">
        <v>0</v>
      </c>
      <c r="AS28" t="s">
        <v>59</v>
      </c>
      <c r="AT28">
        <v>1</v>
      </c>
      <c r="AU28" t="s">
        <v>60</v>
      </c>
      <c r="AV28" t="s">
        <v>65</v>
      </c>
      <c r="AW28">
        <v>1</v>
      </c>
      <c r="AX28">
        <v>5</v>
      </c>
      <c r="AY28">
        <v>0</v>
      </c>
      <c r="AZ28">
        <v>0</v>
      </c>
      <c r="BA28">
        <v>100</v>
      </c>
      <c r="BB28">
        <v>100</v>
      </c>
      <c r="BC28">
        <v>100</v>
      </c>
      <c r="BD28">
        <v>100</v>
      </c>
      <c r="BE28">
        <v>1</v>
      </c>
      <c r="BF28">
        <v>15000</v>
      </c>
      <c r="BG28">
        <v>1000</v>
      </c>
      <c r="BH28" s="8">
        <f>Granger_Inventory[[#This Row],[land_extract]]*Lookups!$B$3</f>
        <v>21427.618862498482</v>
      </c>
      <c r="BI28" s="8">
        <f>IF(Granger_Inventory[[#This Row],[bldg_style]]="",0,Lookups!$B$2)</f>
        <v>29703.559000000001</v>
      </c>
      <c r="BJ28" s="8">
        <f>_xlfn.IFNA(VLOOKUP(Granger_Inventory[[#This Row],[quality]],Lookups!$H$2:$J$14,3,FALSE),0)</f>
        <v>36568</v>
      </c>
      <c r="BK28" s="8">
        <f>_xlfn.IFNA(VLOOKUP(Granger_Inventory[[#This Row],[condition]],Lookups!$H$17:$J$24,3,FALSE),0)</f>
        <v>80695</v>
      </c>
      <c r="BL28" s="8">
        <f>Granger_Inventory[[#This Row],[Age]]*Lookups!$B$16</f>
        <v>-4561.2842000000001</v>
      </c>
      <c r="BM28" s="8">
        <f>Granger_Inventory[[#This Row],[living_area]]*Lookups!$B$17</f>
        <v>113691.21621</v>
      </c>
      <c r="BN28" s="8">
        <f>(Granger_Inventory[[#This Row],[att_gar]]+Granger_Inventory[[#This Row],[blt_gar]])*Lookups!$B$18</f>
        <v>0</v>
      </c>
      <c r="BO28" s="8">
        <f>Granger_Inventory[[#This Row],[Patio]]*Lookups!$B$19</f>
        <v>5214.2492160000002</v>
      </c>
      <c r="BP28" s="8">
        <f>SUM(Granger_Inventory[[#This Row],[Intercept]:[Patio_Value]])*Granger_Inventory[[#This Row],[res_pct]]</f>
        <v>261310.74022599999</v>
      </c>
      <c r="BQ28" s="8">
        <f>Granger_Inventory[[#This Row],[land_value]]</f>
        <v>21427.618862498482</v>
      </c>
      <c r="BR28" s="4">
        <f>_xlfn.IFNA(VLOOKUP(Granger_Inventory[[#This Row],[quality]],Lookups!$A$25:$C$35,3,FALSE),1)</f>
        <v>0.99049976351917957</v>
      </c>
      <c r="BS28" s="4">
        <f>_xlfn.IFNA(VLOOKUP(Granger_Inventory[[#This Row],[condition]],Lookups!$A$38:$C$45,3,FALSE),1)</f>
        <v>0.99484195314749324</v>
      </c>
      <c r="BT28" s="4">
        <f>IF(Granger_Inventory[[#This Row],[decade]]="",1,_xlfn.IFNA(VLOOKUP(Granger_Inventory[[#This Row],[decade]],Lookups!$G$28:$I$42,3,FALSE),1))</f>
        <v>1.0539470644652671</v>
      </c>
      <c r="BU28" s="4">
        <f>_xlfn.IFNA(VLOOKUP(Granger_Inventory[[#This Row],[living_area_range]],Lookups!$A$48:$C$57,3,FALSE),1)</f>
        <v>0.97860968051050168</v>
      </c>
      <c r="BV28" s="4">
        <f>AVERAGE(Granger_Inventory[[#This Row],[qual_adj]:[living_range_adj]])</f>
        <v>1.0044746154106103</v>
      </c>
      <c r="BW28" s="8">
        <f>(Granger_Inventory[[#This Row],[sum_land]]-IF(Granger_Inventory[[#This Row],[no_utilities]]=1,12000,0))/IF(Granger_Inventory[[#This Row],[unbuildable]]=1,2,1)</f>
        <v>21427.618862498482</v>
      </c>
      <c r="BX28" s="8">
        <f>Granger_Inventory[[#This Row],[pre_res]]*Granger_Inventory[[#This Row],[overall_adj]]</f>
        <v>262480.00529117323</v>
      </c>
      <c r="BY2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8">
        <f>ROUND(Granger_Inventory[[#This Row],[detatched_value]]*Lookups!$I$45,-2)</f>
        <v>0</v>
      </c>
      <c r="CA28">
        <f>IF(ROUND(Granger_Inventory[[#This Row],[adj_res]]*Lookups!$I$45,-2)&lt;Granger_Inventory[[#This Row],[min_res]],Granger_Inventory[[#This Row],[min_res]],ROUND(Granger_Inventory[[#This Row],[adj_res]]*Lookups!$I$45,-2))</f>
        <v>249400</v>
      </c>
      <c r="CB28">
        <f>Granger_Inventory[[#This Row],[final_det]]+Granger_Inventory[[#This Row],[final_res]]</f>
        <v>249400</v>
      </c>
      <c r="CC28">
        <f>Granger_Inventory[[#This Row],[final_land]]+Granger_Inventory[[#This Row],[final_imp]]+Granger_Inventory[[#This Row],[crop_value]]</f>
        <v>269800</v>
      </c>
      <c r="CE28" t="str">
        <f t="shared" si="0"/>
        <v>update valuation set market_land =20400, market_bldg=249400, market_total =269800, market_mdno =402, market_date ='9/10/2023' where link_id = (select link_id from parcel where parcel_year = '2024' and parcel_id = '21101531428');</v>
      </c>
    </row>
    <row r="29" spans="1:83" x14ac:dyDescent="0.25">
      <c r="A29">
        <v>21101531429</v>
      </c>
      <c r="B29">
        <v>0.15</v>
      </c>
      <c r="C29">
        <v>6700</v>
      </c>
      <c r="D29" t="s">
        <v>137</v>
      </c>
      <c r="E29" t="s">
        <v>54</v>
      </c>
      <c r="F29" t="s">
        <v>54</v>
      </c>
      <c r="G29">
        <v>3</v>
      </c>
      <c r="H29" t="s">
        <v>55</v>
      </c>
      <c r="I29">
        <v>243800</v>
      </c>
      <c r="J29">
        <v>26300</v>
      </c>
      <c r="K29">
        <v>0.15</v>
      </c>
      <c r="L2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9">
        <v>0</v>
      </c>
      <c r="N29">
        <v>0</v>
      </c>
      <c r="O29">
        <v>0</v>
      </c>
      <c r="P29">
        <v>47108.068500000001</v>
      </c>
      <c r="Q29">
        <v>122298</v>
      </c>
      <c r="R29">
        <f>(Granger_Inventory[[#This Row],[ln_acres]]*Granger_Inventory[[#This Row],[coeff]])+Granger_Inventory[[#This Row],[const]]</f>
        <v>32928.341799276939</v>
      </c>
      <c r="S29" t="s">
        <v>62</v>
      </c>
      <c r="T29">
        <v>1</v>
      </c>
      <c r="U29" t="s">
        <v>64</v>
      </c>
      <c r="V29" t="s">
        <v>72</v>
      </c>
      <c r="W29">
        <v>0</v>
      </c>
      <c r="X29">
        <v>0</v>
      </c>
      <c r="Y29">
        <v>18</v>
      </c>
      <c r="Z29">
        <v>18</v>
      </c>
      <c r="AA29">
        <v>20</v>
      </c>
      <c r="AB29">
        <v>1500</v>
      </c>
      <c r="AC29">
        <v>1197</v>
      </c>
      <c r="AD29">
        <v>1197</v>
      </c>
      <c r="AE29">
        <v>0</v>
      </c>
      <c r="AF29">
        <v>0</v>
      </c>
      <c r="AG29">
        <v>0</v>
      </c>
      <c r="AH29">
        <v>0</v>
      </c>
      <c r="AI29">
        <v>247</v>
      </c>
      <c r="AJ29">
        <v>0</v>
      </c>
      <c r="AK29">
        <v>0</v>
      </c>
      <c r="AL29">
        <v>0</v>
      </c>
      <c r="AM29">
        <v>0</v>
      </c>
      <c r="AN29">
        <v>64</v>
      </c>
      <c r="AO29">
        <v>0</v>
      </c>
      <c r="AP29">
        <v>8</v>
      </c>
      <c r="AQ29">
        <v>0</v>
      </c>
      <c r="AR29">
        <v>0</v>
      </c>
      <c r="AS29" t="s">
        <v>59</v>
      </c>
      <c r="AT29">
        <v>1</v>
      </c>
      <c r="AU29" t="s">
        <v>76</v>
      </c>
      <c r="AV29" t="s">
        <v>65</v>
      </c>
      <c r="AW29">
        <v>0</v>
      </c>
      <c r="AX29">
        <v>4</v>
      </c>
      <c r="AY29">
        <v>0</v>
      </c>
      <c r="AZ29">
        <v>0</v>
      </c>
      <c r="BA29">
        <v>100</v>
      </c>
      <c r="BB29">
        <v>100</v>
      </c>
      <c r="BC29">
        <v>100</v>
      </c>
      <c r="BD29">
        <v>100</v>
      </c>
      <c r="BE29">
        <v>1</v>
      </c>
      <c r="BF29">
        <v>15000</v>
      </c>
      <c r="BG29">
        <v>1000</v>
      </c>
      <c r="BH29" s="8">
        <f>Granger_Inventory[[#This Row],[land_extract]]*Lookups!$B$3</f>
        <v>19616.42740275669</v>
      </c>
      <c r="BI29" s="8">
        <f>IF(Granger_Inventory[[#This Row],[bldg_style]]="",0,Lookups!$B$2)</f>
        <v>29703.559000000001</v>
      </c>
      <c r="BJ29" s="8">
        <f>_xlfn.IFNA(VLOOKUP(Granger_Inventory[[#This Row],[quality]],Lookups!$H$2:$J$14,3,FALSE),0)</f>
        <v>36568</v>
      </c>
      <c r="BK29" s="8">
        <f>_xlfn.IFNA(VLOOKUP(Granger_Inventory[[#This Row],[condition]],Lookups!$H$17:$J$24,3,FALSE),0)</f>
        <v>94106</v>
      </c>
      <c r="BL29" s="8">
        <f>Granger_Inventory[[#This Row],[Age]]*Lookups!$B$16</f>
        <v>-3731.9597999999996</v>
      </c>
      <c r="BM29" s="8">
        <f>Granger_Inventory[[#This Row],[living_area]]*Lookups!$B$17</f>
        <v>80525.672072999994</v>
      </c>
      <c r="BN29" s="8">
        <f>(Granger_Inventory[[#This Row],[att_gar]]+Granger_Inventory[[#This Row],[blt_gar]])*Lookups!$B$18</f>
        <v>11966.553742</v>
      </c>
      <c r="BO29" s="8">
        <f>Granger_Inventory[[#This Row],[Patio]]*Lookups!$B$19</f>
        <v>0</v>
      </c>
      <c r="BP29" s="8">
        <f>SUM(Granger_Inventory[[#This Row],[Intercept]:[Patio_Value]])*Granger_Inventory[[#This Row],[res_pct]]</f>
        <v>249137.82501499998</v>
      </c>
      <c r="BQ29" s="8">
        <f>Granger_Inventory[[#This Row],[land_value]]</f>
        <v>19616.42740275669</v>
      </c>
      <c r="BR29" s="4">
        <f>_xlfn.IFNA(VLOOKUP(Granger_Inventory[[#This Row],[quality]],Lookups!$A$25:$C$35,3,FALSE),1)</f>
        <v>0.99049976351917957</v>
      </c>
      <c r="BS29" s="4">
        <f>_xlfn.IFNA(VLOOKUP(Granger_Inventory[[#This Row],[condition]],Lookups!$A$38:$C$45,3,FALSE),1)</f>
        <v>0.98658583151544277</v>
      </c>
      <c r="BT29" s="4">
        <f>IF(Granger_Inventory[[#This Row],[decade]]="",1,_xlfn.IFNA(VLOOKUP(Granger_Inventory[[#This Row],[decade]],Lookups!$G$28:$I$42,3,FALSE),1))</f>
        <v>1.0159161060824455</v>
      </c>
      <c r="BU29" s="4">
        <f>_xlfn.IFNA(VLOOKUP(Granger_Inventory[[#This Row],[living_area_range]],Lookups!$A$48:$C$57,3,FALSE),1)</f>
        <v>0.97960506760539345</v>
      </c>
      <c r="BV29" s="4">
        <f>AVERAGE(Granger_Inventory[[#This Row],[qual_adj]:[living_range_adj]])</f>
        <v>0.99315169218061539</v>
      </c>
      <c r="BW29" s="8">
        <f>(Granger_Inventory[[#This Row],[sum_land]]-IF(Granger_Inventory[[#This Row],[no_utilities]]=1,12000,0))/IF(Granger_Inventory[[#This Row],[unbuildable]]=1,2,1)</f>
        <v>19616.42740275669</v>
      </c>
      <c r="BX29" s="8">
        <f>Granger_Inventory[[#This Row],[pre_res]]*Granger_Inventory[[#This Row],[overall_adj]]</f>
        <v>247431.65249984528</v>
      </c>
      <c r="BY2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9">
        <f>ROUND(Granger_Inventory[[#This Row],[detatched_value]]*Lookups!$I$45,-2)</f>
        <v>0</v>
      </c>
      <c r="CA29">
        <f>IF(ROUND(Granger_Inventory[[#This Row],[adj_res]]*Lookups!$I$45,-2)&lt;Granger_Inventory[[#This Row],[min_res]],Granger_Inventory[[#This Row],[min_res]],ROUND(Granger_Inventory[[#This Row],[adj_res]]*Lookups!$I$45,-2))</f>
        <v>235100</v>
      </c>
      <c r="CB29">
        <f>Granger_Inventory[[#This Row],[final_det]]+Granger_Inventory[[#This Row],[final_res]]</f>
        <v>235100</v>
      </c>
      <c r="CC29">
        <f>Granger_Inventory[[#This Row],[final_land]]+Granger_Inventory[[#This Row],[final_imp]]+Granger_Inventory[[#This Row],[crop_value]]</f>
        <v>253700</v>
      </c>
      <c r="CE29" t="str">
        <f t="shared" si="0"/>
        <v>update valuation set market_land =18600, market_bldg=235100, market_total =253700, market_mdno =402, market_date ='9/10/2023' where link_id = (select link_id from parcel where parcel_year = '2024' and parcel_id = '21101531429');</v>
      </c>
    </row>
    <row r="30" spans="1:83" x14ac:dyDescent="0.25">
      <c r="A30">
        <v>21101531430</v>
      </c>
      <c r="B30">
        <v>0.15</v>
      </c>
      <c r="C30">
        <v>6709</v>
      </c>
      <c r="D30" t="s">
        <v>137</v>
      </c>
      <c r="E30" t="s">
        <v>54</v>
      </c>
      <c r="F30" t="s">
        <v>54</v>
      </c>
      <c r="G30">
        <v>3</v>
      </c>
      <c r="H30" t="s">
        <v>55</v>
      </c>
      <c r="I30">
        <v>250200</v>
      </c>
      <c r="J30">
        <v>26300</v>
      </c>
      <c r="K30">
        <v>0.15</v>
      </c>
      <c r="L30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0">
        <v>0</v>
      </c>
      <c r="N30">
        <v>0</v>
      </c>
      <c r="O30">
        <v>0</v>
      </c>
      <c r="P30">
        <v>47108.068500000001</v>
      </c>
      <c r="Q30">
        <v>122298</v>
      </c>
      <c r="R30">
        <f>(Granger_Inventory[[#This Row],[ln_acres]]*Granger_Inventory[[#This Row],[coeff]])+Granger_Inventory[[#This Row],[const]]</f>
        <v>32928.341799276939</v>
      </c>
      <c r="S30" t="s">
        <v>56</v>
      </c>
      <c r="T30">
        <v>1</v>
      </c>
      <c r="U30" t="s">
        <v>57</v>
      </c>
      <c r="V30" t="s">
        <v>58</v>
      </c>
      <c r="W30">
        <v>0</v>
      </c>
      <c r="X30">
        <v>0</v>
      </c>
      <c r="Y30">
        <v>10</v>
      </c>
      <c r="Z30">
        <v>10</v>
      </c>
      <c r="AA30">
        <v>10</v>
      </c>
      <c r="AB30">
        <v>1500</v>
      </c>
      <c r="AC30">
        <v>1152</v>
      </c>
      <c r="AD30">
        <v>1152</v>
      </c>
      <c r="AE30">
        <v>0</v>
      </c>
      <c r="AF30">
        <v>0</v>
      </c>
      <c r="AG30">
        <v>0</v>
      </c>
      <c r="AH30">
        <v>0</v>
      </c>
      <c r="AI30">
        <v>400</v>
      </c>
      <c r="AJ30">
        <v>0</v>
      </c>
      <c r="AK30">
        <v>0</v>
      </c>
      <c r="AL30">
        <v>0</v>
      </c>
      <c r="AM30">
        <v>120</v>
      </c>
      <c r="AN30">
        <v>0</v>
      </c>
      <c r="AO30">
        <v>0</v>
      </c>
      <c r="AP30">
        <v>8</v>
      </c>
      <c r="AQ30">
        <v>0</v>
      </c>
      <c r="AR30">
        <v>0</v>
      </c>
      <c r="AS30" t="s">
        <v>59</v>
      </c>
      <c r="AT30">
        <v>1</v>
      </c>
      <c r="AU30" t="s">
        <v>60</v>
      </c>
      <c r="AV30" t="s">
        <v>65</v>
      </c>
      <c r="AW30">
        <v>1</v>
      </c>
      <c r="AX30">
        <v>3</v>
      </c>
      <c r="AY30">
        <v>0</v>
      </c>
      <c r="AZ30">
        <v>0</v>
      </c>
      <c r="BA30">
        <v>100</v>
      </c>
      <c r="BB30">
        <v>100</v>
      </c>
      <c r="BC30">
        <v>100</v>
      </c>
      <c r="BD30">
        <v>100</v>
      </c>
      <c r="BE30">
        <v>1</v>
      </c>
      <c r="BF30">
        <v>15000</v>
      </c>
      <c r="BG30">
        <v>1000</v>
      </c>
      <c r="BH30" s="8">
        <f>Granger_Inventory[[#This Row],[land_extract]]*Lookups!$B$3</f>
        <v>19616.42740275669</v>
      </c>
      <c r="BI30" s="8">
        <f>IF(Granger_Inventory[[#This Row],[bldg_style]]="",0,Lookups!$B$2)</f>
        <v>29703.559000000001</v>
      </c>
      <c r="BJ30" s="8">
        <f>_xlfn.IFNA(VLOOKUP(Granger_Inventory[[#This Row],[quality]],Lookups!$H$2:$J$14,3,FALSE),0)</f>
        <v>56414</v>
      </c>
      <c r="BK30" s="8">
        <f>_xlfn.IFNA(VLOOKUP(Granger_Inventory[[#This Row],[condition]],Lookups!$H$17:$J$24,3,FALSE),0)</f>
        <v>101774</v>
      </c>
      <c r="BL30" s="8">
        <f>Granger_Inventory[[#This Row],[Age]]*Lookups!$B$16</f>
        <v>-2073.3109999999997</v>
      </c>
      <c r="BM30" s="8">
        <f>Granger_Inventory[[#This Row],[living_area]]*Lookups!$B$17</f>
        <v>77498.391168000002</v>
      </c>
      <c r="BN30" s="8">
        <f>(Granger_Inventory[[#This Row],[att_gar]]+Granger_Inventory[[#This Row],[blt_gar]])*Lookups!$B$18</f>
        <v>19379.0344</v>
      </c>
      <c r="BO30" s="8">
        <f>Granger_Inventory[[#This Row],[Patio]]*Lookups!$B$19</f>
        <v>6517.8115199999993</v>
      </c>
      <c r="BP30" s="8">
        <f>SUM(Granger_Inventory[[#This Row],[Intercept]:[Patio_Value]])*Granger_Inventory[[#This Row],[res_pct]]</f>
        <v>289213.48508800002</v>
      </c>
      <c r="BQ30" s="8">
        <f>Granger_Inventory[[#This Row],[land_value]]</f>
        <v>19616.42740275669</v>
      </c>
      <c r="BR30" s="4">
        <f>_xlfn.IFNA(VLOOKUP(Granger_Inventory[[#This Row],[quality]],Lookups!$A$25:$C$35,3,FALSE),1)</f>
        <v>0.98791809110152173</v>
      </c>
      <c r="BS30" s="4">
        <f>_xlfn.IFNA(VLOOKUP(Granger_Inventory[[#This Row],[condition]],Lookups!$A$38:$C$45,3,FALSE),1)</f>
        <v>0.99135053432734199</v>
      </c>
      <c r="BT30" s="4">
        <f>IF(Granger_Inventory[[#This Row],[decade]]="",1,_xlfn.IFNA(VLOOKUP(Granger_Inventory[[#This Row],[decade]],Lookups!$G$28:$I$42,3,FALSE),1))</f>
        <v>0.95532362136731586</v>
      </c>
      <c r="BU30" s="4">
        <f>_xlfn.IFNA(VLOOKUP(Granger_Inventory[[#This Row],[living_area_range]],Lookups!$A$48:$C$57,3,FALSE),1)</f>
        <v>0.97960506760539345</v>
      </c>
      <c r="BV30" s="4">
        <f>AVERAGE(Granger_Inventory[[#This Row],[qual_adj]:[living_range_adj]])</f>
        <v>0.97854932860039323</v>
      </c>
      <c r="BW30" s="8">
        <f>(Granger_Inventory[[#This Row],[sum_land]]-IF(Granger_Inventory[[#This Row],[no_utilities]]=1,12000,0))/IF(Granger_Inventory[[#This Row],[unbuildable]]=1,2,1)</f>
        <v>19616.42740275669</v>
      </c>
      <c r="BX30" s="8">
        <f>Granger_Inventory[[#This Row],[pre_res]]*Granger_Inventory[[#This Row],[overall_adj]]</f>
        <v>283009.66165504226</v>
      </c>
      <c r="BY30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0">
        <f>ROUND(Granger_Inventory[[#This Row],[detatched_value]]*Lookups!$I$45,-2)</f>
        <v>0</v>
      </c>
      <c r="CA30">
        <f>IF(ROUND(Granger_Inventory[[#This Row],[adj_res]]*Lookups!$I$45,-2)&lt;Granger_Inventory[[#This Row],[min_res]],Granger_Inventory[[#This Row],[min_res]],ROUND(Granger_Inventory[[#This Row],[adj_res]]*Lookups!$I$45,-2))</f>
        <v>268900</v>
      </c>
      <c r="CB30">
        <f>Granger_Inventory[[#This Row],[final_det]]+Granger_Inventory[[#This Row],[final_res]]</f>
        <v>268900</v>
      </c>
      <c r="CC30">
        <f>Granger_Inventory[[#This Row],[final_land]]+Granger_Inventory[[#This Row],[final_imp]]+Granger_Inventory[[#This Row],[crop_value]]</f>
        <v>287500</v>
      </c>
      <c r="CE30" t="str">
        <f t="shared" si="0"/>
        <v>update valuation set market_land =18600, market_bldg=268900, market_total =287500, market_mdno =402, market_date ='9/10/2023' where link_id = (select link_id from parcel where parcel_year = '2024' and parcel_id = '21101531430');</v>
      </c>
    </row>
    <row r="31" spans="1:83" x14ac:dyDescent="0.25">
      <c r="A31">
        <v>21101531432</v>
      </c>
      <c r="B31">
        <v>0.16</v>
      </c>
      <c r="C31">
        <v>6791</v>
      </c>
      <c r="D31" t="s">
        <v>137</v>
      </c>
      <c r="E31" t="s">
        <v>54</v>
      </c>
      <c r="F31" t="s">
        <v>54</v>
      </c>
      <c r="G31">
        <v>3</v>
      </c>
      <c r="H31" t="s">
        <v>55</v>
      </c>
      <c r="I31">
        <v>219300</v>
      </c>
      <c r="J31">
        <v>26700</v>
      </c>
      <c r="K31">
        <v>0.16</v>
      </c>
      <c r="L3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1">
        <v>0</v>
      </c>
      <c r="N31">
        <v>0</v>
      </c>
      <c r="O31">
        <v>0</v>
      </c>
      <c r="P31">
        <v>47108.068500000001</v>
      </c>
      <c r="Q31">
        <v>122298</v>
      </c>
      <c r="R31">
        <f>(Granger_Inventory[[#This Row],[ln_acres]]*Granger_Inventory[[#This Row],[coeff]])+Granger_Inventory[[#This Row],[const]]</f>
        <v>35968.626873914327</v>
      </c>
      <c r="S31" t="s">
        <v>56</v>
      </c>
      <c r="T31">
        <v>1</v>
      </c>
      <c r="U31" t="s">
        <v>64</v>
      </c>
      <c r="V31" t="s">
        <v>58</v>
      </c>
      <c r="W31">
        <v>0</v>
      </c>
      <c r="X31">
        <v>0</v>
      </c>
      <c r="Y31">
        <v>14</v>
      </c>
      <c r="Z31">
        <v>14</v>
      </c>
      <c r="AA31">
        <v>20</v>
      </c>
      <c r="AB31">
        <v>1500</v>
      </c>
      <c r="AC31">
        <v>1188</v>
      </c>
      <c r="AD31">
        <v>1188</v>
      </c>
      <c r="AE31">
        <v>0</v>
      </c>
      <c r="AF31">
        <v>0</v>
      </c>
      <c r="AG31">
        <v>0</v>
      </c>
      <c r="AH31">
        <v>0</v>
      </c>
      <c r="AI31">
        <v>260</v>
      </c>
      <c r="AJ31">
        <v>0</v>
      </c>
      <c r="AK31">
        <v>0</v>
      </c>
      <c r="AL31">
        <v>0</v>
      </c>
      <c r="AM31">
        <v>0</v>
      </c>
      <c r="AN31">
        <v>60</v>
      </c>
      <c r="AO31">
        <v>0</v>
      </c>
      <c r="AP31">
        <v>8</v>
      </c>
      <c r="AQ31">
        <v>0</v>
      </c>
      <c r="AR31">
        <v>0</v>
      </c>
      <c r="AS31" t="s">
        <v>59</v>
      </c>
      <c r="AT31">
        <v>1</v>
      </c>
      <c r="AU31" t="s">
        <v>60</v>
      </c>
      <c r="AV31" t="s">
        <v>65</v>
      </c>
      <c r="AW31">
        <v>0</v>
      </c>
      <c r="AX31">
        <v>3</v>
      </c>
      <c r="AY31">
        <v>0</v>
      </c>
      <c r="AZ31">
        <v>0</v>
      </c>
      <c r="BA31">
        <v>100</v>
      </c>
      <c r="BB31">
        <v>100</v>
      </c>
      <c r="BC31">
        <v>100</v>
      </c>
      <c r="BD31">
        <v>100</v>
      </c>
      <c r="BE31">
        <v>1</v>
      </c>
      <c r="BF31">
        <v>15000</v>
      </c>
      <c r="BG31">
        <v>1000</v>
      </c>
      <c r="BH31" s="8">
        <f>Granger_Inventory[[#This Row],[land_extract]]*Lookups!$B$3</f>
        <v>21427.618862498482</v>
      </c>
      <c r="BI31" s="8">
        <f>IF(Granger_Inventory[[#This Row],[bldg_style]]="",0,Lookups!$B$2)</f>
        <v>29703.559000000001</v>
      </c>
      <c r="BJ31" s="8">
        <f>_xlfn.IFNA(VLOOKUP(Granger_Inventory[[#This Row],[quality]],Lookups!$H$2:$J$14,3,FALSE),0)</f>
        <v>36568</v>
      </c>
      <c r="BK31" s="8">
        <f>_xlfn.IFNA(VLOOKUP(Granger_Inventory[[#This Row],[condition]],Lookups!$H$17:$J$24,3,FALSE),0)</f>
        <v>101774</v>
      </c>
      <c r="BL31" s="8">
        <f>Granger_Inventory[[#This Row],[Age]]*Lookups!$B$16</f>
        <v>-2902.6354000000001</v>
      </c>
      <c r="BM31" s="8">
        <f>Granger_Inventory[[#This Row],[living_area]]*Lookups!$B$17</f>
        <v>79920.215891999993</v>
      </c>
      <c r="BN31" s="8">
        <f>(Granger_Inventory[[#This Row],[att_gar]]+Granger_Inventory[[#This Row],[blt_gar]])*Lookups!$B$18</f>
        <v>12596.372360000001</v>
      </c>
      <c r="BO31" s="8">
        <f>Granger_Inventory[[#This Row],[Patio]]*Lookups!$B$19</f>
        <v>0</v>
      </c>
      <c r="BP31" s="8">
        <f>SUM(Granger_Inventory[[#This Row],[Intercept]:[Patio_Value]])*Granger_Inventory[[#This Row],[res_pct]]</f>
        <v>257659.511852</v>
      </c>
      <c r="BQ31" s="8">
        <f>Granger_Inventory[[#This Row],[land_value]]</f>
        <v>21427.618862498482</v>
      </c>
      <c r="BR31" s="4">
        <f>_xlfn.IFNA(VLOOKUP(Granger_Inventory[[#This Row],[quality]],Lookups!$A$25:$C$35,3,FALSE),1)</f>
        <v>0.99049976351917957</v>
      </c>
      <c r="BS31" s="4">
        <f>_xlfn.IFNA(VLOOKUP(Granger_Inventory[[#This Row],[condition]],Lookups!$A$38:$C$45,3,FALSE),1)</f>
        <v>0.99135053432734199</v>
      </c>
      <c r="BT31" s="4">
        <f>IF(Granger_Inventory[[#This Row],[decade]]="",1,_xlfn.IFNA(VLOOKUP(Granger_Inventory[[#This Row],[decade]],Lookups!$G$28:$I$42,3,FALSE),1))</f>
        <v>1.0159161060824455</v>
      </c>
      <c r="BU31" s="4">
        <f>_xlfn.IFNA(VLOOKUP(Granger_Inventory[[#This Row],[living_area_range]],Lookups!$A$48:$C$57,3,FALSE),1)</f>
        <v>0.97960506760539345</v>
      </c>
      <c r="BV31" s="4">
        <f>AVERAGE(Granger_Inventory[[#This Row],[qual_adj]:[living_range_adj]])</f>
        <v>0.99434286788359016</v>
      </c>
      <c r="BW31" s="8">
        <f>(Granger_Inventory[[#This Row],[sum_land]]-IF(Granger_Inventory[[#This Row],[no_utilities]]=1,12000,0))/IF(Granger_Inventory[[#This Row],[unbuildable]]=1,2,1)</f>
        <v>21427.618862498482</v>
      </c>
      <c r="BX31" s="8">
        <f>Granger_Inventory[[#This Row],[pre_res]]*Granger_Inventory[[#This Row],[overall_adj]]</f>
        <v>256201.89795240355</v>
      </c>
      <c r="BY3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1">
        <f>ROUND(Granger_Inventory[[#This Row],[detatched_value]]*Lookups!$I$45,-2)</f>
        <v>0</v>
      </c>
      <c r="CA31">
        <f>IF(ROUND(Granger_Inventory[[#This Row],[adj_res]]*Lookups!$I$45,-2)&lt;Granger_Inventory[[#This Row],[min_res]],Granger_Inventory[[#This Row],[min_res]],ROUND(Granger_Inventory[[#This Row],[adj_res]]*Lookups!$I$45,-2))</f>
        <v>243400</v>
      </c>
      <c r="CB31">
        <f>Granger_Inventory[[#This Row],[final_det]]+Granger_Inventory[[#This Row],[final_res]]</f>
        <v>243400</v>
      </c>
      <c r="CC31">
        <f>Granger_Inventory[[#This Row],[final_land]]+Granger_Inventory[[#This Row],[final_imp]]+Granger_Inventory[[#This Row],[crop_value]]</f>
        <v>263800</v>
      </c>
      <c r="CE31" t="str">
        <f t="shared" si="0"/>
        <v>update valuation set market_land =20400, market_bldg=243400, market_total =263800, market_mdno =402, market_date ='9/10/2023' where link_id = (select link_id from parcel where parcel_year = '2024' and parcel_id = '21101531432');</v>
      </c>
    </row>
    <row r="32" spans="1:83" x14ac:dyDescent="0.25">
      <c r="A32">
        <v>21101531433</v>
      </c>
      <c r="B32">
        <v>0.16</v>
      </c>
      <c r="C32">
        <v>6802</v>
      </c>
      <c r="D32" t="s">
        <v>137</v>
      </c>
      <c r="E32" t="s">
        <v>54</v>
      </c>
      <c r="F32" t="s">
        <v>54</v>
      </c>
      <c r="G32">
        <v>3</v>
      </c>
      <c r="H32" t="s">
        <v>55</v>
      </c>
      <c r="I32">
        <v>222200</v>
      </c>
      <c r="J32">
        <v>26700</v>
      </c>
      <c r="K32">
        <v>0.16</v>
      </c>
      <c r="L3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2">
        <v>0</v>
      </c>
      <c r="N32">
        <v>0</v>
      </c>
      <c r="O32">
        <v>0</v>
      </c>
      <c r="P32">
        <v>47108.068500000001</v>
      </c>
      <c r="Q32">
        <v>122298</v>
      </c>
      <c r="R32">
        <f>(Granger_Inventory[[#This Row],[ln_acres]]*Granger_Inventory[[#This Row],[coeff]])+Granger_Inventory[[#This Row],[const]]</f>
        <v>35968.626873914327</v>
      </c>
      <c r="S32" t="s">
        <v>56</v>
      </c>
      <c r="T32">
        <v>1</v>
      </c>
      <c r="U32" t="s">
        <v>64</v>
      </c>
      <c r="V32" t="s">
        <v>58</v>
      </c>
      <c r="W32">
        <v>0</v>
      </c>
      <c r="X32">
        <v>0</v>
      </c>
      <c r="Y32">
        <v>14</v>
      </c>
      <c r="Z32">
        <v>14</v>
      </c>
      <c r="AA32">
        <v>20</v>
      </c>
      <c r="AB32">
        <v>1500</v>
      </c>
      <c r="AC32">
        <v>1051</v>
      </c>
      <c r="AD32">
        <v>1051</v>
      </c>
      <c r="AE32">
        <v>0</v>
      </c>
      <c r="AF32">
        <v>0</v>
      </c>
      <c r="AG32">
        <v>0</v>
      </c>
      <c r="AH32">
        <v>0</v>
      </c>
      <c r="AI32">
        <v>441</v>
      </c>
      <c r="AJ32">
        <v>0</v>
      </c>
      <c r="AK32">
        <v>0</v>
      </c>
      <c r="AL32">
        <v>0</v>
      </c>
      <c r="AM32">
        <v>0</v>
      </c>
      <c r="AN32">
        <v>68</v>
      </c>
      <c r="AO32">
        <v>0</v>
      </c>
      <c r="AP32">
        <v>8</v>
      </c>
      <c r="AQ32">
        <v>0</v>
      </c>
      <c r="AR32">
        <v>0</v>
      </c>
      <c r="AS32" t="s">
        <v>59</v>
      </c>
      <c r="AT32">
        <v>1</v>
      </c>
      <c r="AU32" t="s">
        <v>76</v>
      </c>
      <c r="AV32" t="s">
        <v>65</v>
      </c>
      <c r="AW32">
        <v>0</v>
      </c>
      <c r="AX32">
        <v>3</v>
      </c>
      <c r="AY32">
        <v>0</v>
      </c>
      <c r="AZ32">
        <v>0</v>
      </c>
      <c r="BA32">
        <v>100</v>
      </c>
      <c r="BB32">
        <v>100</v>
      </c>
      <c r="BC32">
        <v>100</v>
      </c>
      <c r="BD32">
        <v>100</v>
      </c>
      <c r="BE32">
        <v>1</v>
      </c>
      <c r="BF32">
        <v>15000</v>
      </c>
      <c r="BG32">
        <v>1000</v>
      </c>
      <c r="BH32" s="8">
        <f>Granger_Inventory[[#This Row],[land_extract]]*Lookups!$B$3</f>
        <v>21427.618862498482</v>
      </c>
      <c r="BI32" s="8">
        <f>IF(Granger_Inventory[[#This Row],[bldg_style]]="",0,Lookups!$B$2)</f>
        <v>29703.559000000001</v>
      </c>
      <c r="BJ32" s="8">
        <f>_xlfn.IFNA(VLOOKUP(Granger_Inventory[[#This Row],[quality]],Lookups!$H$2:$J$14,3,FALSE),0)</f>
        <v>36568</v>
      </c>
      <c r="BK32" s="8">
        <f>_xlfn.IFNA(VLOOKUP(Granger_Inventory[[#This Row],[condition]],Lookups!$H$17:$J$24,3,FALSE),0)</f>
        <v>101774</v>
      </c>
      <c r="BL32" s="8">
        <f>Granger_Inventory[[#This Row],[Age]]*Lookups!$B$16</f>
        <v>-2902.6354000000001</v>
      </c>
      <c r="BM32" s="8">
        <f>Granger_Inventory[[#This Row],[living_area]]*Lookups!$B$17</f>
        <v>70703.827359000003</v>
      </c>
      <c r="BN32" s="8">
        <f>(Granger_Inventory[[#This Row],[att_gar]]+Granger_Inventory[[#This Row],[blt_gar]])*Lookups!$B$18</f>
        <v>21365.385426000001</v>
      </c>
      <c r="BO32" s="8">
        <f>Granger_Inventory[[#This Row],[Patio]]*Lookups!$B$19</f>
        <v>0</v>
      </c>
      <c r="BP32" s="8">
        <f>SUM(Granger_Inventory[[#This Row],[Intercept]:[Patio_Value]])*Granger_Inventory[[#This Row],[res_pct]]</f>
        <v>257212.13638500002</v>
      </c>
      <c r="BQ32" s="8">
        <f>Granger_Inventory[[#This Row],[land_value]]</f>
        <v>21427.618862498482</v>
      </c>
      <c r="BR32" s="4">
        <f>_xlfn.IFNA(VLOOKUP(Granger_Inventory[[#This Row],[quality]],Lookups!$A$25:$C$35,3,FALSE),1)</f>
        <v>0.99049976351917957</v>
      </c>
      <c r="BS32" s="4">
        <f>_xlfn.IFNA(VLOOKUP(Granger_Inventory[[#This Row],[condition]],Lookups!$A$38:$C$45,3,FALSE),1)</f>
        <v>0.99135053432734199</v>
      </c>
      <c r="BT32" s="4">
        <f>IF(Granger_Inventory[[#This Row],[decade]]="",1,_xlfn.IFNA(VLOOKUP(Granger_Inventory[[#This Row],[decade]],Lookups!$G$28:$I$42,3,FALSE),1))</f>
        <v>1.0159161060824455</v>
      </c>
      <c r="BU32" s="4">
        <f>_xlfn.IFNA(VLOOKUP(Granger_Inventory[[#This Row],[living_area_range]],Lookups!$A$48:$C$57,3,FALSE),1)</f>
        <v>0.97960506760539345</v>
      </c>
      <c r="BV32" s="4">
        <f>AVERAGE(Granger_Inventory[[#This Row],[qual_adj]:[living_range_adj]])</f>
        <v>0.99434286788359016</v>
      </c>
      <c r="BW32" s="8">
        <f>(Granger_Inventory[[#This Row],[sum_land]]-IF(Granger_Inventory[[#This Row],[no_utilities]]=1,12000,0))/IF(Granger_Inventory[[#This Row],[unbuildable]]=1,2,1)</f>
        <v>21427.618862498482</v>
      </c>
      <c r="BX32" s="8">
        <f>Granger_Inventory[[#This Row],[pre_res]]*Granger_Inventory[[#This Row],[overall_adj]]</f>
        <v>255757.05334752606</v>
      </c>
      <c r="BY3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2">
        <f>ROUND(Granger_Inventory[[#This Row],[detatched_value]]*Lookups!$I$45,-2)</f>
        <v>0</v>
      </c>
      <c r="CA32">
        <f>IF(ROUND(Granger_Inventory[[#This Row],[adj_res]]*Lookups!$I$45,-2)&lt;Granger_Inventory[[#This Row],[min_res]],Granger_Inventory[[#This Row],[min_res]],ROUND(Granger_Inventory[[#This Row],[adj_res]]*Lookups!$I$45,-2))</f>
        <v>243000</v>
      </c>
      <c r="CB32">
        <f>Granger_Inventory[[#This Row],[final_det]]+Granger_Inventory[[#This Row],[final_res]]</f>
        <v>243000</v>
      </c>
      <c r="CC32">
        <f>Granger_Inventory[[#This Row],[final_land]]+Granger_Inventory[[#This Row],[final_imp]]+Granger_Inventory[[#This Row],[crop_value]]</f>
        <v>263400</v>
      </c>
      <c r="CE32" t="str">
        <f t="shared" si="0"/>
        <v>update valuation set market_land =20400, market_bldg=243000, market_total =263400, market_mdno =402, market_date ='9/10/2023' where link_id = (select link_id from parcel where parcel_year = '2024' and parcel_id = '21101531433');</v>
      </c>
    </row>
    <row r="33" spans="1:83" x14ac:dyDescent="0.25">
      <c r="A33">
        <v>21101531434</v>
      </c>
      <c r="B33">
        <v>0.16</v>
      </c>
      <c r="C33">
        <v>6802</v>
      </c>
      <c r="D33" t="s">
        <v>137</v>
      </c>
      <c r="E33" t="s">
        <v>54</v>
      </c>
      <c r="F33" t="s">
        <v>54</v>
      </c>
      <c r="G33">
        <v>3</v>
      </c>
      <c r="H33" t="s">
        <v>55</v>
      </c>
      <c r="I33">
        <v>254900</v>
      </c>
      <c r="J33">
        <v>26700</v>
      </c>
      <c r="K33">
        <v>0.16</v>
      </c>
      <c r="L33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3">
        <v>0</v>
      </c>
      <c r="N33">
        <v>0</v>
      </c>
      <c r="O33">
        <v>0</v>
      </c>
      <c r="P33">
        <v>47108.068500000001</v>
      </c>
      <c r="Q33">
        <v>122298</v>
      </c>
      <c r="R33">
        <f>(Granger_Inventory[[#This Row],[ln_acres]]*Granger_Inventory[[#This Row],[coeff]])+Granger_Inventory[[#This Row],[const]]</f>
        <v>35968.626873914327</v>
      </c>
      <c r="S33" t="s">
        <v>56</v>
      </c>
      <c r="T33">
        <v>1</v>
      </c>
      <c r="U33" t="s">
        <v>64</v>
      </c>
      <c r="V33" t="s">
        <v>58</v>
      </c>
      <c r="W33">
        <v>0</v>
      </c>
      <c r="X33">
        <v>0</v>
      </c>
      <c r="Y33">
        <v>14</v>
      </c>
      <c r="Z33">
        <v>14</v>
      </c>
      <c r="AA33">
        <v>20</v>
      </c>
      <c r="AB33">
        <v>1500</v>
      </c>
      <c r="AC33">
        <v>1212</v>
      </c>
      <c r="AD33">
        <v>1212</v>
      </c>
      <c r="AE33">
        <v>0</v>
      </c>
      <c r="AF33">
        <v>0</v>
      </c>
      <c r="AG33">
        <v>0</v>
      </c>
      <c r="AH33">
        <v>0</v>
      </c>
      <c r="AI33">
        <v>420</v>
      </c>
      <c r="AJ33">
        <v>0</v>
      </c>
      <c r="AK33">
        <v>0</v>
      </c>
      <c r="AL33">
        <v>0</v>
      </c>
      <c r="AM33">
        <v>0</v>
      </c>
      <c r="AN33">
        <v>68</v>
      </c>
      <c r="AO33">
        <v>0</v>
      </c>
      <c r="AP33">
        <v>8</v>
      </c>
      <c r="AQ33">
        <v>0</v>
      </c>
      <c r="AR33">
        <v>0</v>
      </c>
      <c r="AS33" t="s">
        <v>59</v>
      </c>
      <c r="AT33">
        <v>1</v>
      </c>
      <c r="AU33" t="s">
        <v>63</v>
      </c>
      <c r="AV33" t="s">
        <v>65</v>
      </c>
      <c r="AW33">
        <v>1</v>
      </c>
      <c r="AX33">
        <v>4</v>
      </c>
      <c r="AY33">
        <v>0</v>
      </c>
      <c r="AZ33">
        <v>0</v>
      </c>
      <c r="BA33">
        <v>100</v>
      </c>
      <c r="BB33">
        <v>100</v>
      </c>
      <c r="BC33">
        <v>100</v>
      </c>
      <c r="BD33">
        <v>100</v>
      </c>
      <c r="BE33">
        <v>1</v>
      </c>
      <c r="BF33">
        <v>15000</v>
      </c>
      <c r="BG33">
        <v>1000</v>
      </c>
      <c r="BH33" s="8">
        <f>Granger_Inventory[[#This Row],[land_extract]]*Lookups!$B$3</f>
        <v>21427.618862498482</v>
      </c>
      <c r="BI33" s="8">
        <f>IF(Granger_Inventory[[#This Row],[bldg_style]]="",0,Lookups!$B$2)</f>
        <v>29703.559000000001</v>
      </c>
      <c r="BJ33" s="8">
        <f>_xlfn.IFNA(VLOOKUP(Granger_Inventory[[#This Row],[quality]],Lookups!$H$2:$J$14,3,FALSE),0)</f>
        <v>36568</v>
      </c>
      <c r="BK33" s="8">
        <f>_xlfn.IFNA(VLOOKUP(Granger_Inventory[[#This Row],[condition]],Lookups!$H$17:$J$24,3,FALSE),0)</f>
        <v>101774</v>
      </c>
      <c r="BL33" s="8">
        <f>Granger_Inventory[[#This Row],[Age]]*Lookups!$B$16</f>
        <v>-2902.6354000000001</v>
      </c>
      <c r="BM33" s="8">
        <f>Granger_Inventory[[#This Row],[living_area]]*Lookups!$B$17</f>
        <v>81534.765707999992</v>
      </c>
      <c r="BN33" s="8">
        <f>(Granger_Inventory[[#This Row],[att_gar]]+Granger_Inventory[[#This Row],[blt_gar]])*Lookups!$B$18</f>
        <v>20347.986120000001</v>
      </c>
      <c r="BO33" s="8">
        <f>Granger_Inventory[[#This Row],[Patio]]*Lookups!$B$19</f>
        <v>0</v>
      </c>
      <c r="BP33" s="8">
        <f>SUM(Granger_Inventory[[#This Row],[Intercept]:[Patio_Value]])*Granger_Inventory[[#This Row],[res_pct]]</f>
        <v>267025.67542799999</v>
      </c>
      <c r="BQ33" s="8">
        <f>Granger_Inventory[[#This Row],[land_value]]</f>
        <v>21427.618862498482</v>
      </c>
      <c r="BR33" s="4">
        <f>_xlfn.IFNA(VLOOKUP(Granger_Inventory[[#This Row],[quality]],Lookups!$A$25:$C$35,3,FALSE),1)</f>
        <v>0.99049976351917957</v>
      </c>
      <c r="BS33" s="4">
        <f>_xlfn.IFNA(VLOOKUP(Granger_Inventory[[#This Row],[condition]],Lookups!$A$38:$C$45,3,FALSE),1)</f>
        <v>0.99135053432734199</v>
      </c>
      <c r="BT33" s="4">
        <f>IF(Granger_Inventory[[#This Row],[decade]]="",1,_xlfn.IFNA(VLOOKUP(Granger_Inventory[[#This Row],[decade]],Lookups!$G$28:$I$42,3,FALSE),1))</f>
        <v>1.0159161060824455</v>
      </c>
      <c r="BU33" s="4">
        <f>_xlfn.IFNA(VLOOKUP(Granger_Inventory[[#This Row],[living_area_range]],Lookups!$A$48:$C$57,3,FALSE),1)</f>
        <v>0.97960506760539345</v>
      </c>
      <c r="BV33" s="4">
        <f>AVERAGE(Granger_Inventory[[#This Row],[qual_adj]:[living_range_adj]])</f>
        <v>0.99434286788359016</v>
      </c>
      <c r="BW33" s="8">
        <f>(Granger_Inventory[[#This Row],[sum_land]]-IF(Granger_Inventory[[#This Row],[no_utilities]]=1,12000,0))/IF(Granger_Inventory[[#This Row],[unbuildable]]=1,2,1)</f>
        <v>21427.618862498482</v>
      </c>
      <c r="BX33" s="8">
        <f>Granger_Inventory[[#This Row],[pre_res]]*Granger_Inventory[[#This Row],[overall_adj]]</f>
        <v>265515.07590363023</v>
      </c>
      <c r="BY33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3">
        <f>ROUND(Granger_Inventory[[#This Row],[detatched_value]]*Lookups!$I$45,-2)</f>
        <v>0</v>
      </c>
      <c r="CA33">
        <f>IF(ROUND(Granger_Inventory[[#This Row],[adj_res]]*Lookups!$I$45,-2)&lt;Granger_Inventory[[#This Row],[min_res]],Granger_Inventory[[#This Row],[min_res]],ROUND(Granger_Inventory[[#This Row],[adj_res]]*Lookups!$I$45,-2))</f>
        <v>252200</v>
      </c>
      <c r="CB33">
        <f>Granger_Inventory[[#This Row],[final_det]]+Granger_Inventory[[#This Row],[final_res]]</f>
        <v>252200</v>
      </c>
      <c r="CC33">
        <f>Granger_Inventory[[#This Row],[final_land]]+Granger_Inventory[[#This Row],[final_imp]]+Granger_Inventory[[#This Row],[crop_value]]</f>
        <v>272600</v>
      </c>
      <c r="CE33" t="str">
        <f t="shared" si="0"/>
        <v>update valuation set market_land =20400, market_bldg=252200, market_total =272600, market_mdno =402, market_date ='9/10/2023' where link_id = (select link_id from parcel where parcel_year = '2024' and parcel_id = '21101531434');</v>
      </c>
    </row>
    <row r="34" spans="1:83" x14ac:dyDescent="0.25">
      <c r="A34">
        <v>21101531435</v>
      </c>
      <c r="B34">
        <v>0.15</v>
      </c>
      <c r="C34">
        <v>6700</v>
      </c>
      <c r="D34" t="s">
        <v>137</v>
      </c>
      <c r="E34" t="s">
        <v>54</v>
      </c>
      <c r="F34" t="s">
        <v>54</v>
      </c>
      <c r="G34">
        <v>3</v>
      </c>
      <c r="H34" t="s">
        <v>55</v>
      </c>
      <c r="I34">
        <v>212400</v>
      </c>
      <c r="J34">
        <v>26300</v>
      </c>
      <c r="K34">
        <v>0.15</v>
      </c>
      <c r="L3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4">
        <v>0</v>
      </c>
      <c r="N34">
        <v>0</v>
      </c>
      <c r="O34">
        <v>0</v>
      </c>
      <c r="P34">
        <v>47108.068500000001</v>
      </c>
      <c r="Q34">
        <v>122298</v>
      </c>
      <c r="R34">
        <f>(Granger_Inventory[[#This Row],[ln_acres]]*Granger_Inventory[[#This Row],[coeff]])+Granger_Inventory[[#This Row],[const]]</f>
        <v>32928.341799276939</v>
      </c>
      <c r="S34" t="s">
        <v>56</v>
      </c>
      <c r="T34">
        <v>1</v>
      </c>
      <c r="U34" t="s">
        <v>64</v>
      </c>
      <c r="V34" t="s">
        <v>72</v>
      </c>
      <c r="W34">
        <v>0</v>
      </c>
      <c r="X34">
        <v>0</v>
      </c>
      <c r="Y34">
        <v>14</v>
      </c>
      <c r="Z34">
        <v>14</v>
      </c>
      <c r="AA34">
        <v>20</v>
      </c>
      <c r="AB34">
        <v>1500</v>
      </c>
      <c r="AC34">
        <v>1104</v>
      </c>
      <c r="AD34">
        <v>1104</v>
      </c>
      <c r="AE34">
        <v>0</v>
      </c>
      <c r="AF34">
        <v>0</v>
      </c>
      <c r="AG34">
        <v>0</v>
      </c>
      <c r="AH34">
        <v>0</v>
      </c>
      <c r="AI34">
        <v>400</v>
      </c>
      <c r="AJ34">
        <v>0</v>
      </c>
      <c r="AK34">
        <v>0</v>
      </c>
      <c r="AL34">
        <v>0</v>
      </c>
      <c r="AM34">
        <v>0</v>
      </c>
      <c r="AN34">
        <v>20</v>
      </c>
      <c r="AO34">
        <v>0</v>
      </c>
      <c r="AP34">
        <v>8</v>
      </c>
      <c r="AQ34">
        <v>0</v>
      </c>
      <c r="AR34">
        <v>0</v>
      </c>
      <c r="AS34" t="s">
        <v>59</v>
      </c>
      <c r="AT34">
        <v>1</v>
      </c>
      <c r="AU34" t="s">
        <v>68</v>
      </c>
      <c r="AV34" t="s">
        <v>65</v>
      </c>
      <c r="AW34">
        <v>0</v>
      </c>
      <c r="AX34">
        <v>3</v>
      </c>
      <c r="AY34">
        <v>0</v>
      </c>
      <c r="AZ34">
        <v>0</v>
      </c>
      <c r="BA34">
        <v>100</v>
      </c>
      <c r="BB34">
        <v>100</v>
      </c>
      <c r="BC34">
        <v>100</v>
      </c>
      <c r="BD34">
        <v>100</v>
      </c>
      <c r="BE34">
        <v>1</v>
      </c>
      <c r="BF34">
        <v>15000</v>
      </c>
      <c r="BG34">
        <v>1000</v>
      </c>
      <c r="BH34" s="8">
        <f>Granger_Inventory[[#This Row],[land_extract]]*Lookups!$B$3</f>
        <v>19616.42740275669</v>
      </c>
      <c r="BI34" s="8">
        <f>IF(Granger_Inventory[[#This Row],[bldg_style]]="",0,Lookups!$B$2)</f>
        <v>29703.559000000001</v>
      </c>
      <c r="BJ34" s="8">
        <f>_xlfn.IFNA(VLOOKUP(Granger_Inventory[[#This Row],[quality]],Lookups!$H$2:$J$14,3,FALSE),0)</f>
        <v>36568</v>
      </c>
      <c r="BK34" s="8">
        <f>_xlfn.IFNA(VLOOKUP(Granger_Inventory[[#This Row],[condition]],Lookups!$H$17:$J$24,3,FALSE),0)</f>
        <v>94106</v>
      </c>
      <c r="BL34" s="8">
        <f>Granger_Inventory[[#This Row],[Age]]*Lookups!$B$16</f>
        <v>-2902.6354000000001</v>
      </c>
      <c r="BM34" s="8">
        <f>Granger_Inventory[[#This Row],[living_area]]*Lookups!$B$17</f>
        <v>74269.291536000004</v>
      </c>
      <c r="BN34" s="8">
        <f>(Granger_Inventory[[#This Row],[att_gar]]+Granger_Inventory[[#This Row],[blt_gar]])*Lookups!$B$18</f>
        <v>19379.0344</v>
      </c>
      <c r="BO34" s="8">
        <f>Granger_Inventory[[#This Row],[Patio]]*Lookups!$B$19</f>
        <v>0</v>
      </c>
      <c r="BP34" s="8">
        <f>SUM(Granger_Inventory[[#This Row],[Intercept]:[Patio_Value]])*Granger_Inventory[[#This Row],[res_pct]]</f>
        <v>251123.24953600002</v>
      </c>
      <c r="BQ34" s="8">
        <f>Granger_Inventory[[#This Row],[land_value]]</f>
        <v>19616.42740275669</v>
      </c>
      <c r="BR34" s="4">
        <f>_xlfn.IFNA(VLOOKUP(Granger_Inventory[[#This Row],[quality]],Lookups!$A$25:$C$35,3,FALSE),1)</f>
        <v>0.99049976351917957</v>
      </c>
      <c r="BS34" s="4">
        <f>_xlfn.IFNA(VLOOKUP(Granger_Inventory[[#This Row],[condition]],Lookups!$A$38:$C$45,3,FALSE),1)</f>
        <v>0.98658583151544277</v>
      </c>
      <c r="BT34" s="4">
        <f>IF(Granger_Inventory[[#This Row],[decade]]="",1,_xlfn.IFNA(VLOOKUP(Granger_Inventory[[#This Row],[decade]],Lookups!$G$28:$I$42,3,FALSE),1))</f>
        <v>1.0159161060824455</v>
      </c>
      <c r="BU34" s="4">
        <f>_xlfn.IFNA(VLOOKUP(Granger_Inventory[[#This Row],[living_area_range]],Lookups!$A$48:$C$57,3,FALSE),1)</f>
        <v>0.97960506760539345</v>
      </c>
      <c r="BV34" s="4">
        <f>AVERAGE(Granger_Inventory[[#This Row],[qual_adj]:[living_range_adj]])</f>
        <v>0.99315169218061539</v>
      </c>
      <c r="BW34" s="8">
        <f>(Granger_Inventory[[#This Row],[sum_land]]-IF(Granger_Inventory[[#This Row],[no_utilities]]=1,12000,0))/IF(Granger_Inventory[[#This Row],[unbuildable]]=1,2,1)</f>
        <v>19616.42740275669</v>
      </c>
      <c r="BX34" s="8">
        <f>Granger_Inventory[[#This Row],[pre_res]]*Granger_Inventory[[#This Row],[overall_adj]]</f>
        <v>249403.48022257336</v>
      </c>
      <c r="BY3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4">
        <f>ROUND(Granger_Inventory[[#This Row],[detatched_value]]*Lookups!$I$45,-2)</f>
        <v>0</v>
      </c>
      <c r="CA34">
        <f>IF(ROUND(Granger_Inventory[[#This Row],[adj_res]]*Lookups!$I$45,-2)&lt;Granger_Inventory[[#This Row],[min_res]],Granger_Inventory[[#This Row],[min_res]],ROUND(Granger_Inventory[[#This Row],[adj_res]]*Lookups!$I$45,-2))</f>
        <v>236900</v>
      </c>
      <c r="CB34">
        <f>Granger_Inventory[[#This Row],[final_det]]+Granger_Inventory[[#This Row],[final_res]]</f>
        <v>236900</v>
      </c>
      <c r="CC34">
        <f>Granger_Inventory[[#This Row],[final_land]]+Granger_Inventory[[#This Row],[final_imp]]+Granger_Inventory[[#This Row],[crop_value]]</f>
        <v>255500</v>
      </c>
      <c r="CE34" t="str">
        <f t="shared" si="0"/>
        <v>update valuation set market_land =18600, market_bldg=236900, market_total =255500, market_mdno =402, market_date ='9/10/2023' where link_id = (select link_id from parcel where parcel_year = '2024' and parcel_id = '21101531435');</v>
      </c>
    </row>
    <row r="35" spans="1:83" x14ac:dyDescent="0.25">
      <c r="A35">
        <v>21101531436</v>
      </c>
      <c r="B35">
        <v>0.17</v>
      </c>
      <c r="C35">
        <v>7232</v>
      </c>
      <c r="D35" t="s">
        <v>137</v>
      </c>
      <c r="E35" t="s">
        <v>54</v>
      </c>
      <c r="F35" t="s">
        <v>54</v>
      </c>
      <c r="G35">
        <v>3</v>
      </c>
      <c r="H35" t="s">
        <v>55</v>
      </c>
      <c r="I35">
        <v>296800</v>
      </c>
      <c r="J35">
        <v>27100</v>
      </c>
      <c r="K35">
        <v>0.17</v>
      </c>
      <c r="L35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5">
        <v>0</v>
      </c>
      <c r="N35">
        <v>0</v>
      </c>
      <c r="O35">
        <v>0</v>
      </c>
      <c r="P35">
        <v>47108.068500000001</v>
      </c>
      <c r="Q35">
        <v>122298</v>
      </c>
      <c r="R35">
        <f>(Granger_Inventory[[#This Row],[ln_acres]]*Granger_Inventory[[#This Row],[coeff]])+Granger_Inventory[[#This Row],[const]]</f>
        <v>38824.535711229546</v>
      </c>
      <c r="S35" t="s">
        <v>56</v>
      </c>
      <c r="T35">
        <v>1</v>
      </c>
      <c r="U35" t="s">
        <v>57</v>
      </c>
      <c r="V35" t="s">
        <v>58</v>
      </c>
      <c r="W35">
        <v>0</v>
      </c>
      <c r="X35">
        <v>0</v>
      </c>
      <c r="Y35">
        <v>10</v>
      </c>
      <c r="Z35">
        <v>10</v>
      </c>
      <c r="AA35">
        <v>10</v>
      </c>
      <c r="AB35">
        <v>1500</v>
      </c>
      <c r="AC35">
        <v>1420</v>
      </c>
      <c r="AD35">
        <v>1420</v>
      </c>
      <c r="AE35">
        <v>0</v>
      </c>
      <c r="AF35">
        <v>0</v>
      </c>
      <c r="AG35">
        <v>0</v>
      </c>
      <c r="AH35">
        <v>0</v>
      </c>
      <c r="AI35">
        <v>442</v>
      </c>
      <c r="AJ35">
        <v>0</v>
      </c>
      <c r="AK35">
        <v>0</v>
      </c>
      <c r="AL35">
        <v>0</v>
      </c>
      <c r="AM35">
        <v>96</v>
      </c>
      <c r="AN35">
        <v>0</v>
      </c>
      <c r="AO35">
        <v>0</v>
      </c>
      <c r="AP35">
        <v>8</v>
      </c>
      <c r="AQ35">
        <v>0</v>
      </c>
      <c r="AR35">
        <v>0</v>
      </c>
      <c r="AS35" t="s">
        <v>59</v>
      </c>
      <c r="AT35">
        <v>1</v>
      </c>
      <c r="AU35" t="s">
        <v>60</v>
      </c>
      <c r="AV35" t="s">
        <v>65</v>
      </c>
      <c r="AW35">
        <v>1</v>
      </c>
      <c r="AX35">
        <v>4</v>
      </c>
      <c r="AY35">
        <v>0</v>
      </c>
      <c r="AZ35">
        <v>0</v>
      </c>
      <c r="BA35">
        <v>100</v>
      </c>
      <c r="BB35">
        <v>100</v>
      </c>
      <c r="BC35">
        <v>100</v>
      </c>
      <c r="BD35">
        <v>100</v>
      </c>
      <c r="BE35">
        <v>1</v>
      </c>
      <c r="BF35">
        <v>15000</v>
      </c>
      <c r="BG35">
        <v>1000</v>
      </c>
      <c r="BH35" s="8">
        <f>Granger_Inventory[[#This Row],[land_extract]]*Lookups!$B$3</f>
        <v>23128.971718879347</v>
      </c>
      <c r="BI35" s="8">
        <f>IF(Granger_Inventory[[#This Row],[bldg_style]]="",0,Lookups!$B$2)</f>
        <v>29703.559000000001</v>
      </c>
      <c r="BJ35" s="8">
        <f>_xlfn.IFNA(VLOOKUP(Granger_Inventory[[#This Row],[quality]],Lookups!$H$2:$J$14,3,FALSE),0)</f>
        <v>56414</v>
      </c>
      <c r="BK35" s="8">
        <f>_xlfn.IFNA(VLOOKUP(Granger_Inventory[[#This Row],[condition]],Lookups!$H$17:$J$24,3,FALSE),0)</f>
        <v>101774</v>
      </c>
      <c r="BL35" s="8">
        <f>Granger_Inventory[[#This Row],[Age]]*Lookups!$B$16</f>
        <v>-2073.3109999999997</v>
      </c>
      <c r="BM35" s="8">
        <f>Granger_Inventory[[#This Row],[living_area]]*Lookups!$B$17</f>
        <v>95527.530780000001</v>
      </c>
      <c r="BN35" s="8">
        <f>(Granger_Inventory[[#This Row],[att_gar]]+Granger_Inventory[[#This Row],[blt_gar]])*Lookups!$B$18</f>
        <v>21413.833011999999</v>
      </c>
      <c r="BO35" s="8">
        <f>Granger_Inventory[[#This Row],[Patio]]*Lookups!$B$19</f>
        <v>5214.2492160000002</v>
      </c>
      <c r="BP35" s="8">
        <f>SUM(Granger_Inventory[[#This Row],[Intercept]:[Patio_Value]])*Granger_Inventory[[#This Row],[res_pct]]</f>
        <v>307973.86100800009</v>
      </c>
      <c r="BQ35" s="8">
        <f>Granger_Inventory[[#This Row],[land_value]]</f>
        <v>23128.971718879347</v>
      </c>
      <c r="BR35" s="4">
        <f>_xlfn.IFNA(VLOOKUP(Granger_Inventory[[#This Row],[quality]],Lookups!$A$25:$C$35,3,FALSE),1)</f>
        <v>0.98791809110152173</v>
      </c>
      <c r="BS35" s="4">
        <f>_xlfn.IFNA(VLOOKUP(Granger_Inventory[[#This Row],[condition]],Lookups!$A$38:$C$45,3,FALSE),1)</f>
        <v>0.99135053432734199</v>
      </c>
      <c r="BT35" s="4">
        <f>IF(Granger_Inventory[[#This Row],[decade]]="",1,_xlfn.IFNA(VLOOKUP(Granger_Inventory[[#This Row],[decade]],Lookups!$G$28:$I$42,3,FALSE),1))</f>
        <v>0.95532362136731586</v>
      </c>
      <c r="BU35" s="4">
        <f>_xlfn.IFNA(VLOOKUP(Granger_Inventory[[#This Row],[living_area_range]],Lookups!$A$48:$C$57,3,FALSE),1)</f>
        <v>0.97960506760539345</v>
      </c>
      <c r="BV35" s="4">
        <f>AVERAGE(Granger_Inventory[[#This Row],[qual_adj]:[living_range_adj]])</f>
        <v>0.97854932860039323</v>
      </c>
      <c r="BW35" s="8">
        <f>(Granger_Inventory[[#This Row],[sum_land]]-IF(Granger_Inventory[[#This Row],[no_utilities]]=1,12000,0))/IF(Granger_Inventory[[#This Row],[unbuildable]]=1,2,1)</f>
        <v>23128.971718879347</v>
      </c>
      <c r="BX35" s="8">
        <f>Granger_Inventory[[#This Row],[pre_res]]*Granger_Inventory[[#This Row],[overall_adj]]</f>
        <v>301367.61491584929</v>
      </c>
      <c r="BY35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5">
        <f>ROUND(Granger_Inventory[[#This Row],[detatched_value]]*Lookups!$I$45,-2)</f>
        <v>0</v>
      </c>
      <c r="CA35">
        <f>IF(ROUND(Granger_Inventory[[#This Row],[adj_res]]*Lookups!$I$45,-2)&lt;Granger_Inventory[[#This Row],[min_res]],Granger_Inventory[[#This Row],[min_res]],ROUND(Granger_Inventory[[#This Row],[adj_res]]*Lookups!$I$45,-2))</f>
        <v>286300</v>
      </c>
      <c r="CB35">
        <f>Granger_Inventory[[#This Row],[final_det]]+Granger_Inventory[[#This Row],[final_res]]</f>
        <v>286300</v>
      </c>
      <c r="CC35">
        <f>Granger_Inventory[[#This Row],[final_land]]+Granger_Inventory[[#This Row],[final_imp]]+Granger_Inventory[[#This Row],[crop_value]]</f>
        <v>308300</v>
      </c>
      <c r="CE35" t="str">
        <f t="shared" si="0"/>
        <v>update valuation set market_land =22000, market_bldg=286300, market_total =308300, market_mdno =402, market_date ='9/10/2023' where link_id = (select link_id from parcel where parcel_year = '2024' and parcel_id = '21101531436');</v>
      </c>
    </row>
    <row r="36" spans="1:83" x14ac:dyDescent="0.25">
      <c r="A36">
        <v>21101531437</v>
      </c>
      <c r="B36">
        <v>0.17</v>
      </c>
      <c r="C36">
        <v>7262</v>
      </c>
      <c r="D36" t="s">
        <v>137</v>
      </c>
      <c r="E36" t="s">
        <v>54</v>
      </c>
      <c r="F36" t="s">
        <v>54</v>
      </c>
      <c r="G36">
        <v>3</v>
      </c>
      <c r="H36" t="s">
        <v>55</v>
      </c>
      <c r="I36">
        <v>296800</v>
      </c>
      <c r="J36">
        <v>27100</v>
      </c>
      <c r="K36">
        <v>0.17</v>
      </c>
      <c r="L3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6">
        <v>0</v>
      </c>
      <c r="N36">
        <v>0</v>
      </c>
      <c r="O36">
        <v>0</v>
      </c>
      <c r="P36">
        <v>47108.068500000001</v>
      </c>
      <c r="Q36">
        <v>122298</v>
      </c>
      <c r="R36">
        <f>(Granger_Inventory[[#This Row],[ln_acres]]*Granger_Inventory[[#This Row],[coeff]])+Granger_Inventory[[#This Row],[const]]</f>
        <v>38824.535711229546</v>
      </c>
      <c r="S36" t="s">
        <v>56</v>
      </c>
      <c r="T36">
        <v>1</v>
      </c>
      <c r="U36" t="s">
        <v>57</v>
      </c>
      <c r="V36" t="s">
        <v>58</v>
      </c>
      <c r="W36">
        <v>0</v>
      </c>
      <c r="X36">
        <v>0</v>
      </c>
      <c r="Y36">
        <v>10</v>
      </c>
      <c r="Z36">
        <v>10</v>
      </c>
      <c r="AA36">
        <v>10</v>
      </c>
      <c r="AB36">
        <v>1500</v>
      </c>
      <c r="AC36">
        <v>1420</v>
      </c>
      <c r="AD36">
        <v>1420</v>
      </c>
      <c r="AE36">
        <v>0</v>
      </c>
      <c r="AF36">
        <v>0</v>
      </c>
      <c r="AG36">
        <v>0</v>
      </c>
      <c r="AH36">
        <v>0</v>
      </c>
      <c r="AI36">
        <v>442</v>
      </c>
      <c r="AJ36">
        <v>0</v>
      </c>
      <c r="AK36">
        <v>0</v>
      </c>
      <c r="AL36">
        <v>0</v>
      </c>
      <c r="AM36">
        <v>96</v>
      </c>
      <c r="AN36">
        <v>0</v>
      </c>
      <c r="AO36">
        <v>0</v>
      </c>
      <c r="AP36">
        <v>8</v>
      </c>
      <c r="AQ36">
        <v>0</v>
      </c>
      <c r="AR36">
        <v>0</v>
      </c>
      <c r="AS36" t="s">
        <v>59</v>
      </c>
      <c r="AT36">
        <v>1</v>
      </c>
      <c r="AU36" t="s">
        <v>60</v>
      </c>
      <c r="AV36" t="s">
        <v>65</v>
      </c>
      <c r="AW36">
        <v>1</v>
      </c>
      <c r="AX36">
        <v>4</v>
      </c>
      <c r="AY36">
        <v>0</v>
      </c>
      <c r="AZ36">
        <v>0</v>
      </c>
      <c r="BA36">
        <v>100</v>
      </c>
      <c r="BB36">
        <v>100</v>
      </c>
      <c r="BC36">
        <v>100</v>
      </c>
      <c r="BD36">
        <v>100</v>
      </c>
      <c r="BE36">
        <v>1</v>
      </c>
      <c r="BF36">
        <v>15000</v>
      </c>
      <c r="BG36">
        <v>1000</v>
      </c>
      <c r="BH36" s="8">
        <f>Granger_Inventory[[#This Row],[land_extract]]*Lookups!$B$3</f>
        <v>23128.971718879347</v>
      </c>
      <c r="BI36" s="8">
        <f>IF(Granger_Inventory[[#This Row],[bldg_style]]="",0,Lookups!$B$2)</f>
        <v>29703.559000000001</v>
      </c>
      <c r="BJ36" s="8">
        <f>_xlfn.IFNA(VLOOKUP(Granger_Inventory[[#This Row],[quality]],Lookups!$H$2:$J$14,3,FALSE),0)</f>
        <v>56414</v>
      </c>
      <c r="BK36" s="8">
        <f>_xlfn.IFNA(VLOOKUP(Granger_Inventory[[#This Row],[condition]],Lookups!$H$17:$J$24,3,FALSE),0)</f>
        <v>101774</v>
      </c>
      <c r="BL36" s="8">
        <f>Granger_Inventory[[#This Row],[Age]]*Lookups!$B$16</f>
        <v>-2073.3109999999997</v>
      </c>
      <c r="BM36" s="8">
        <f>Granger_Inventory[[#This Row],[living_area]]*Lookups!$B$17</f>
        <v>95527.530780000001</v>
      </c>
      <c r="BN36" s="8">
        <f>(Granger_Inventory[[#This Row],[att_gar]]+Granger_Inventory[[#This Row],[blt_gar]])*Lookups!$B$18</f>
        <v>21413.833011999999</v>
      </c>
      <c r="BO36" s="8">
        <f>Granger_Inventory[[#This Row],[Patio]]*Lookups!$B$19</f>
        <v>5214.2492160000002</v>
      </c>
      <c r="BP36" s="8">
        <f>SUM(Granger_Inventory[[#This Row],[Intercept]:[Patio_Value]])*Granger_Inventory[[#This Row],[res_pct]]</f>
        <v>307973.86100800009</v>
      </c>
      <c r="BQ36" s="8">
        <f>Granger_Inventory[[#This Row],[land_value]]</f>
        <v>23128.971718879347</v>
      </c>
      <c r="BR36" s="4">
        <f>_xlfn.IFNA(VLOOKUP(Granger_Inventory[[#This Row],[quality]],Lookups!$A$25:$C$35,3,FALSE),1)</f>
        <v>0.98791809110152173</v>
      </c>
      <c r="BS36" s="4">
        <f>_xlfn.IFNA(VLOOKUP(Granger_Inventory[[#This Row],[condition]],Lookups!$A$38:$C$45,3,FALSE),1)</f>
        <v>0.99135053432734199</v>
      </c>
      <c r="BT36" s="4">
        <f>IF(Granger_Inventory[[#This Row],[decade]]="",1,_xlfn.IFNA(VLOOKUP(Granger_Inventory[[#This Row],[decade]],Lookups!$G$28:$I$42,3,FALSE),1))</f>
        <v>0.95532362136731586</v>
      </c>
      <c r="BU36" s="4">
        <f>_xlfn.IFNA(VLOOKUP(Granger_Inventory[[#This Row],[living_area_range]],Lookups!$A$48:$C$57,3,FALSE),1)</f>
        <v>0.97960506760539345</v>
      </c>
      <c r="BV36" s="4">
        <f>AVERAGE(Granger_Inventory[[#This Row],[qual_adj]:[living_range_adj]])</f>
        <v>0.97854932860039323</v>
      </c>
      <c r="BW36" s="8">
        <f>(Granger_Inventory[[#This Row],[sum_land]]-IF(Granger_Inventory[[#This Row],[no_utilities]]=1,12000,0))/IF(Granger_Inventory[[#This Row],[unbuildable]]=1,2,1)</f>
        <v>23128.971718879347</v>
      </c>
      <c r="BX36" s="8">
        <f>Granger_Inventory[[#This Row],[pre_res]]*Granger_Inventory[[#This Row],[overall_adj]]</f>
        <v>301367.61491584929</v>
      </c>
      <c r="BY3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6">
        <f>ROUND(Granger_Inventory[[#This Row],[detatched_value]]*Lookups!$I$45,-2)</f>
        <v>0</v>
      </c>
      <c r="CA36">
        <f>IF(ROUND(Granger_Inventory[[#This Row],[adj_res]]*Lookups!$I$45,-2)&lt;Granger_Inventory[[#This Row],[min_res]],Granger_Inventory[[#This Row],[min_res]],ROUND(Granger_Inventory[[#This Row],[adj_res]]*Lookups!$I$45,-2))</f>
        <v>286300</v>
      </c>
      <c r="CB36">
        <f>Granger_Inventory[[#This Row],[final_det]]+Granger_Inventory[[#This Row],[final_res]]</f>
        <v>286300</v>
      </c>
      <c r="CC36">
        <f>Granger_Inventory[[#This Row],[final_land]]+Granger_Inventory[[#This Row],[final_imp]]+Granger_Inventory[[#This Row],[crop_value]]</f>
        <v>308300</v>
      </c>
      <c r="CE36" t="str">
        <f t="shared" si="0"/>
        <v>update valuation set market_land =22000, market_bldg=286300, market_total =308300, market_mdno =402, market_date ='9/10/2023' where link_id = (select link_id from parcel where parcel_year = '2024' and parcel_id = '21101531437');</v>
      </c>
    </row>
    <row r="37" spans="1:83" x14ac:dyDescent="0.25">
      <c r="A37">
        <v>21101531438</v>
      </c>
      <c r="B37">
        <v>0.17</v>
      </c>
      <c r="C37">
        <v>7450</v>
      </c>
      <c r="D37" t="s">
        <v>137</v>
      </c>
      <c r="E37" t="s">
        <v>54</v>
      </c>
      <c r="F37" t="s">
        <v>54</v>
      </c>
      <c r="G37">
        <v>3</v>
      </c>
      <c r="H37" t="s">
        <v>55</v>
      </c>
      <c r="I37">
        <v>166900</v>
      </c>
      <c r="J37">
        <v>27100</v>
      </c>
      <c r="K37">
        <v>0.17</v>
      </c>
      <c r="L37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7">
        <v>0</v>
      </c>
      <c r="N37">
        <v>0</v>
      </c>
      <c r="O37">
        <v>0</v>
      </c>
      <c r="P37">
        <v>47108.068500000001</v>
      </c>
      <c r="Q37">
        <v>122298</v>
      </c>
      <c r="R37">
        <f>(Granger_Inventory[[#This Row],[ln_acres]]*Granger_Inventory[[#This Row],[coeff]])+Granger_Inventory[[#This Row],[const]]</f>
        <v>38824.535711229546</v>
      </c>
      <c r="S37" t="s">
        <v>56</v>
      </c>
      <c r="T37">
        <v>1</v>
      </c>
      <c r="U37" t="s">
        <v>64</v>
      </c>
      <c r="V37" t="s">
        <v>77</v>
      </c>
      <c r="W37">
        <v>0</v>
      </c>
      <c r="X37">
        <v>0</v>
      </c>
      <c r="Y37">
        <v>21</v>
      </c>
      <c r="Z37">
        <v>21</v>
      </c>
      <c r="AA37">
        <v>30</v>
      </c>
      <c r="AB37">
        <v>1500</v>
      </c>
      <c r="AC37">
        <v>1148</v>
      </c>
      <c r="AD37">
        <v>1148</v>
      </c>
      <c r="AE37">
        <v>0</v>
      </c>
      <c r="AF37">
        <v>0</v>
      </c>
      <c r="AG37">
        <v>0</v>
      </c>
      <c r="AH37">
        <v>0</v>
      </c>
      <c r="AI37">
        <v>440</v>
      </c>
      <c r="AJ37">
        <v>0</v>
      </c>
      <c r="AK37">
        <v>0</v>
      </c>
      <c r="AL37">
        <v>0</v>
      </c>
      <c r="AM37">
        <v>0</v>
      </c>
      <c r="AN37">
        <v>364</v>
      </c>
      <c r="AO37">
        <v>0</v>
      </c>
      <c r="AP37">
        <v>8</v>
      </c>
      <c r="AQ37">
        <v>0</v>
      </c>
      <c r="AR37">
        <v>0</v>
      </c>
      <c r="AS37" t="s">
        <v>59</v>
      </c>
      <c r="AT37">
        <v>1</v>
      </c>
      <c r="AU37" t="s">
        <v>60</v>
      </c>
      <c r="AV37" t="s">
        <v>65</v>
      </c>
      <c r="AW37">
        <v>1</v>
      </c>
      <c r="AX37">
        <v>3</v>
      </c>
      <c r="AY37">
        <v>0</v>
      </c>
      <c r="AZ37">
        <v>0</v>
      </c>
      <c r="BA37">
        <v>100</v>
      </c>
      <c r="BB37">
        <v>100</v>
      </c>
      <c r="BC37">
        <v>100</v>
      </c>
      <c r="BD37">
        <v>100</v>
      </c>
      <c r="BE37">
        <v>1</v>
      </c>
      <c r="BF37">
        <v>15000</v>
      </c>
      <c r="BG37">
        <v>1000</v>
      </c>
      <c r="BH37" s="8">
        <f>Granger_Inventory[[#This Row],[land_extract]]*Lookups!$B$3</f>
        <v>23128.971718879347</v>
      </c>
      <c r="BI37" s="8">
        <f>IF(Granger_Inventory[[#This Row],[bldg_style]]="",0,Lookups!$B$2)</f>
        <v>29703.559000000001</v>
      </c>
      <c r="BJ37" s="8">
        <f>_xlfn.IFNA(VLOOKUP(Granger_Inventory[[#This Row],[quality]],Lookups!$H$2:$J$14,3,FALSE),0)</f>
        <v>36568</v>
      </c>
      <c r="BK37" s="8">
        <f>_xlfn.IFNA(VLOOKUP(Granger_Inventory[[#This Row],[condition]],Lookups!$H$17:$J$24,3,FALSE),0)</f>
        <v>33736</v>
      </c>
      <c r="BL37" s="8">
        <f>Granger_Inventory[[#This Row],[Age]]*Lookups!$B$16</f>
        <v>-4353.9530999999997</v>
      </c>
      <c r="BM37" s="8">
        <f>Granger_Inventory[[#This Row],[living_area]]*Lookups!$B$17</f>
        <v>77229.299532000005</v>
      </c>
      <c r="BN37" s="8">
        <f>(Granger_Inventory[[#This Row],[att_gar]]+Granger_Inventory[[#This Row],[blt_gar]])*Lookups!$B$18</f>
        <v>21316.937839999999</v>
      </c>
      <c r="BO37" s="8">
        <f>Granger_Inventory[[#This Row],[Patio]]*Lookups!$B$19</f>
        <v>0</v>
      </c>
      <c r="BP37" s="8">
        <f>SUM(Granger_Inventory[[#This Row],[Intercept]:[Patio_Value]])*Granger_Inventory[[#This Row],[res_pct]]</f>
        <v>194199.843272</v>
      </c>
      <c r="BQ37" s="8">
        <f>Granger_Inventory[[#This Row],[land_value]]</f>
        <v>23128.971718879347</v>
      </c>
      <c r="BR37" s="4">
        <f>_xlfn.IFNA(VLOOKUP(Granger_Inventory[[#This Row],[quality]],Lookups!$A$25:$C$35,3,FALSE),1)</f>
        <v>0.99049976351917957</v>
      </c>
      <c r="BS37" s="4">
        <f>_xlfn.IFNA(VLOOKUP(Granger_Inventory[[#This Row],[condition]],Lookups!$A$38:$C$45,3,FALSE),1)</f>
        <v>0.92294678898076177</v>
      </c>
      <c r="BT37" s="4">
        <f>IF(Granger_Inventory[[#This Row],[decade]]="",1,_xlfn.IFNA(VLOOKUP(Granger_Inventory[[#This Row],[decade]],Lookups!$G$28:$I$42,3,FALSE),1))</f>
        <v>1.0539470644652671</v>
      </c>
      <c r="BU37" s="4">
        <f>_xlfn.IFNA(VLOOKUP(Granger_Inventory[[#This Row],[living_area_range]],Lookups!$A$48:$C$57,3,FALSE),1)</f>
        <v>0.97960506760539345</v>
      </c>
      <c r="BV37" s="4">
        <f>AVERAGE(Granger_Inventory[[#This Row],[qual_adj]:[living_range_adj]])</f>
        <v>0.98674967114265044</v>
      </c>
      <c r="BW37" s="8">
        <f>(Granger_Inventory[[#This Row],[sum_land]]-IF(Granger_Inventory[[#This Row],[no_utilities]]=1,12000,0))/IF(Granger_Inventory[[#This Row],[unbuildable]]=1,2,1)</f>
        <v>23128.971718879347</v>
      </c>
      <c r="BX37" s="8">
        <f>Granger_Inventory[[#This Row],[pre_res]]*Granger_Inventory[[#This Row],[overall_adj]]</f>
        <v>191626.63148460025</v>
      </c>
      <c r="BY37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7">
        <f>ROUND(Granger_Inventory[[#This Row],[detatched_value]]*Lookups!$I$45,-2)</f>
        <v>0</v>
      </c>
      <c r="CA37">
        <f>IF(ROUND(Granger_Inventory[[#This Row],[adj_res]]*Lookups!$I$45,-2)&lt;Granger_Inventory[[#This Row],[min_res]],Granger_Inventory[[#This Row],[min_res]],ROUND(Granger_Inventory[[#This Row],[adj_res]]*Lookups!$I$45,-2))</f>
        <v>182000</v>
      </c>
      <c r="CB37">
        <f>Granger_Inventory[[#This Row],[final_det]]+Granger_Inventory[[#This Row],[final_res]]</f>
        <v>182000</v>
      </c>
      <c r="CC37">
        <f>Granger_Inventory[[#This Row],[final_land]]+Granger_Inventory[[#This Row],[final_imp]]+Granger_Inventory[[#This Row],[crop_value]]</f>
        <v>204000</v>
      </c>
      <c r="CE37" t="str">
        <f t="shared" si="0"/>
        <v>update valuation set market_land =22000, market_bldg=182000, market_total =204000, market_mdno =402, market_date ='9/10/2023' where link_id = (select link_id from parcel where parcel_year = '2024' and parcel_id = '21101531438');</v>
      </c>
    </row>
    <row r="38" spans="1:83" x14ac:dyDescent="0.25">
      <c r="A38">
        <v>21101531439</v>
      </c>
      <c r="B38">
        <v>0.16</v>
      </c>
      <c r="C38">
        <v>6973</v>
      </c>
      <c r="D38" t="s">
        <v>137</v>
      </c>
      <c r="E38" t="s">
        <v>54</v>
      </c>
      <c r="F38" t="s">
        <v>54</v>
      </c>
      <c r="G38">
        <v>3</v>
      </c>
      <c r="H38" t="s">
        <v>55</v>
      </c>
      <c r="I38">
        <v>165600</v>
      </c>
      <c r="J38">
        <v>26700</v>
      </c>
      <c r="K38">
        <v>0.16</v>
      </c>
      <c r="L3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8">
        <v>0</v>
      </c>
      <c r="N38">
        <v>0</v>
      </c>
      <c r="O38">
        <v>0</v>
      </c>
      <c r="P38">
        <v>47108.068500000001</v>
      </c>
      <c r="Q38">
        <v>122298</v>
      </c>
      <c r="R38">
        <f>(Granger_Inventory[[#This Row],[ln_acres]]*Granger_Inventory[[#This Row],[coeff]])+Granger_Inventory[[#This Row],[const]]</f>
        <v>35968.626873914327</v>
      </c>
      <c r="S38" t="s">
        <v>56</v>
      </c>
      <c r="T38">
        <v>1</v>
      </c>
      <c r="U38" t="s">
        <v>71</v>
      </c>
      <c r="V38" t="s">
        <v>72</v>
      </c>
      <c r="W38">
        <v>0</v>
      </c>
      <c r="X38">
        <v>0</v>
      </c>
      <c r="Y38">
        <v>22</v>
      </c>
      <c r="Z38">
        <v>22</v>
      </c>
      <c r="AA38">
        <v>30</v>
      </c>
      <c r="AB38">
        <v>1500</v>
      </c>
      <c r="AC38">
        <v>1120</v>
      </c>
      <c r="AD38">
        <v>1120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5</v>
      </c>
      <c r="AQ38">
        <v>0</v>
      </c>
      <c r="AR38">
        <v>0</v>
      </c>
      <c r="AS38" t="s">
        <v>59</v>
      </c>
      <c r="AT38">
        <v>1</v>
      </c>
      <c r="AU38" t="s">
        <v>60</v>
      </c>
      <c r="AV38" t="s">
        <v>65</v>
      </c>
      <c r="AW38">
        <v>0</v>
      </c>
      <c r="AX38">
        <v>3</v>
      </c>
      <c r="AY38">
        <v>0</v>
      </c>
      <c r="AZ38">
        <v>0</v>
      </c>
      <c r="BA38">
        <v>100</v>
      </c>
      <c r="BB38">
        <v>100</v>
      </c>
      <c r="BC38">
        <v>100</v>
      </c>
      <c r="BD38">
        <v>100</v>
      </c>
      <c r="BE38">
        <v>1</v>
      </c>
      <c r="BF38">
        <v>15000</v>
      </c>
      <c r="BG38">
        <v>1000</v>
      </c>
      <c r="BH38" s="8">
        <f>Granger_Inventory[[#This Row],[land_extract]]*Lookups!$B$3</f>
        <v>21427.618862498482</v>
      </c>
      <c r="BI38" s="8">
        <f>IF(Granger_Inventory[[#This Row],[bldg_style]]="",0,Lookups!$B$2)</f>
        <v>29703.559000000001</v>
      </c>
      <c r="BJ38" s="8">
        <f>_xlfn.IFNA(VLOOKUP(Granger_Inventory[[#This Row],[quality]],Lookups!$H$2:$J$14,3,FALSE),0)</f>
        <v>34195</v>
      </c>
      <c r="BK38" s="8">
        <f>_xlfn.IFNA(VLOOKUP(Granger_Inventory[[#This Row],[condition]],Lookups!$H$17:$J$24,3,FALSE),0)</f>
        <v>94106</v>
      </c>
      <c r="BL38" s="8">
        <f>Granger_Inventory[[#This Row],[Age]]*Lookups!$B$16</f>
        <v>-4561.2842000000001</v>
      </c>
      <c r="BM38" s="8">
        <f>Granger_Inventory[[#This Row],[living_area]]*Lookups!$B$17</f>
        <v>75345.658079999994</v>
      </c>
      <c r="BN38" s="8">
        <f>(Granger_Inventory[[#This Row],[att_gar]]+Granger_Inventory[[#This Row],[blt_gar]])*Lookups!$B$18</f>
        <v>0</v>
      </c>
      <c r="BO38" s="8">
        <f>Granger_Inventory[[#This Row],[Patio]]*Lookups!$B$19</f>
        <v>0</v>
      </c>
      <c r="BP38" s="8">
        <f>SUM(Granger_Inventory[[#This Row],[Intercept]:[Patio_Value]])*Granger_Inventory[[#This Row],[res_pct]]</f>
        <v>228788.93288000001</v>
      </c>
      <c r="BQ38" s="8">
        <f>Granger_Inventory[[#This Row],[land_value]]</f>
        <v>21427.618862498482</v>
      </c>
      <c r="BR38" s="4">
        <f>_xlfn.IFNA(VLOOKUP(Granger_Inventory[[#This Row],[quality]],Lookups!$A$25:$C$35,3,FALSE),1)</f>
        <v>0.98258795897788032</v>
      </c>
      <c r="BS38" s="4">
        <f>_xlfn.IFNA(VLOOKUP(Granger_Inventory[[#This Row],[condition]],Lookups!$A$38:$C$45,3,FALSE),1)</f>
        <v>0.98658583151544277</v>
      </c>
      <c r="BT38" s="4">
        <f>IF(Granger_Inventory[[#This Row],[decade]]="",1,_xlfn.IFNA(VLOOKUP(Granger_Inventory[[#This Row],[decade]],Lookups!$G$28:$I$42,3,FALSE),1))</f>
        <v>1.0539470644652671</v>
      </c>
      <c r="BU38" s="4">
        <f>_xlfn.IFNA(VLOOKUP(Granger_Inventory[[#This Row],[living_area_range]],Lookups!$A$48:$C$57,3,FALSE),1)</f>
        <v>0.97960506760539345</v>
      </c>
      <c r="BV38" s="4">
        <f>AVERAGE(Granger_Inventory[[#This Row],[qual_adj]:[living_range_adj]])</f>
        <v>1.0006814806409958</v>
      </c>
      <c r="BW38" s="8">
        <f>(Granger_Inventory[[#This Row],[sum_land]]-IF(Granger_Inventory[[#This Row],[no_utilities]]=1,12000,0))/IF(Granger_Inventory[[#This Row],[unbuildable]]=1,2,1)</f>
        <v>21427.618862498482</v>
      </c>
      <c r="BX38" s="8">
        <f>Granger_Inventory[[#This Row],[pre_res]]*Granger_Inventory[[#This Row],[overall_adj]]</f>
        <v>228944.84810863182</v>
      </c>
      <c r="BY3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8">
        <f>ROUND(Granger_Inventory[[#This Row],[detatched_value]]*Lookups!$I$45,-2)</f>
        <v>0</v>
      </c>
      <c r="CA38">
        <f>IF(ROUND(Granger_Inventory[[#This Row],[adj_res]]*Lookups!$I$45,-2)&lt;Granger_Inventory[[#This Row],[min_res]],Granger_Inventory[[#This Row],[min_res]],ROUND(Granger_Inventory[[#This Row],[adj_res]]*Lookups!$I$45,-2))</f>
        <v>217500</v>
      </c>
      <c r="CB38">
        <f>Granger_Inventory[[#This Row],[final_det]]+Granger_Inventory[[#This Row],[final_res]]</f>
        <v>217500</v>
      </c>
      <c r="CC38">
        <f>Granger_Inventory[[#This Row],[final_land]]+Granger_Inventory[[#This Row],[final_imp]]+Granger_Inventory[[#This Row],[crop_value]]</f>
        <v>237900</v>
      </c>
      <c r="CE38" t="str">
        <f t="shared" si="0"/>
        <v>update valuation set market_land =20400, market_bldg=217500, market_total =237900, market_mdno =402, market_date ='9/10/2023' where link_id = (select link_id from parcel where parcel_year = '2024' and parcel_id = '21101531439');</v>
      </c>
    </row>
    <row r="39" spans="1:83" x14ac:dyDescent="0.25">
      <c r="A39">
        <v>21101531440</v>
      </c>
      <c r="B39">
        <v>0.16</v>
      </c>
      <c r="C39">
        <v>7023</v>
      </c>
      <c r="D39" t="s">
        <v>137</v>
      </c>
      <c r="E39" t="s">
        <v>54</v>
      </c>
      <c r="F39" t="s">
        <v>54</v>
      </c>
      <c r="G39">
        <v>3</v>
      </c>
      <c r="H39" t="s">
        <v>55</v>
      </c>
      <c r="I39">
        <v>177000</v>
      </c>
      <c r="J39">
        <v>26700</v>
      </c>
      <c r="K39">
        <v>0.16</v>
      </c>
      <c r="L39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9">
        <v>0</v>
      </c>
      <c r="N39">
        <v>0</v>
      </c>
      <c r="O39">
        <v>0</v>
      </c>
      <c r="P39">
        <v>47108.068500000001</v>
      </c>
      <c r="Q39">
        <v>122298</v>
      </c>
      <c r="R39">
        <f>(Granger_Inventory[[#This Row],[ln_acres]]*Granger_Inventory[[#This Row],[coeff]])+Granger_Inventory[[#This Row],[const]]</f>
        <v>35968.626873914327</v>
      </c>
      <c r="S39" t="s">
        <v>56</v>
      </c>
      <c r="T39">
        <v>1</v>
      </c>
      <c r="U39" t="s">
        <v>64</v>
      </c>
      <c r="V39" t="s">
        <v>72</v>
      </c>
      <c r="W39">
        <v>0</v>
      </c>
      <c r="X39">
        <v>0</v>
      </c>
      <c r="Y39">
        <v>22</v>
      </c>
      <c r="Z39">
        <v>22</v>
      </c>
      <c r="AA39">
        <v>30</v>
      </c>
      <c r="AB39">
        <v>1500</v>
      </c>
      <c r="AC39">
        <v>1120</v>
      </c>
      <c r="AD39">
        <v>1120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1176</v>
      </c>
      <c r="AN39">
        <v>0</v>
      </c>
      <c r="AO39">
        <v>1176</v>
      </c>
      <c r="AP39">
        <v>5</v>
      </c>
      <c r="AQ39">
        <v>0</v>
      </c>
      <c r="AR39">
        <v>0</v>
      </c>
      <c r="AS39" t="s">
        <v>59</v>
      </c>
      <c r="AT39">
        <v>1</v>
      </c>
      <c r="AU39" t="s">
        <v>60</v>
      </c>
      <c r="AV39" t="s">
        <v>65</v>
      </c>
      <c r="AW39">
        <v>0</v>
      </c>
      <c r="AX39">
        <v>3</v>
      </c>
      <c r="AY39">
        <v>0</v>
      </c>
      <c r="AZ39">
        <v>900</v>
      </c>
      <c r="BA39">
        <v>100</v>
      </c>
      <c r="BB39">
        <v>100</v>
      </c>
      <c r="BC39">
        <v>100</v>
      </c>
      <c r="BD39">
        <v>100</v>
      </c>
      <c r="BE39">
        <v>1</v>
      </c>
      <c r="BF39">
        <v>15000</v>
      </c>
      <c r="BG39">
        <v>1000</v>
      </c>
      <c r="BH39" s="8">
        <f>Granger_Inventory[[#This Row],[land_extract]]*Lookups!$B$3</f>
        <v>21427.618862498482</v>
      </c>
      <c r="BI39" s="8">
        <f>IF(Granger_Inventory[[#This Row],[bldg_style]]="",0,Lookups!$B$2)</f>
        <v>29703.559000000001</v>
      </c>
      <c r="BJ39" s="8">
        <f>_xlfn.IFNA(VLOOKUP(Granger_Inventory[[#This Row],[quality]],Lookups!$H$2:$J$14,3,FALSE),0)</f>
        <v>36568</v>
      </c>
      <c r="BK39" s="8">
        <f>_xlfn.IFNA(VLOOKUP(Granger_Inventory[[#This Row],[condition]],Lookups!$H$17:$J$24,3,FALSE),0)</f>
        <v>94106</v>
      </c>
      <c r="BL39" s="8">
        <f>Granger_Inventory[[#This Row],[Age]]*Lookups!$B$16</f>
        <v>-4561.2842000000001</v>
      </c>
      <c r="BM39" s="8">
        <f>Granger_Inventory[[#This Row],[living_area]]*Lookups!$B$17</f>
        <v>75345.658079999994</v>
      </c>
      <c r="BN39" s="8">
        <f>(Granger_Inventory[[#This Row],[att_gar]]+Granger_Inventory[[#This Row],[blt_gar]])*Lookups!$B$18</f>
        <v>0</v>
      </c>
      <c r="BO39" s="8">
        <f>Granger_Inventory[[#This Row],[Patio]]*Lookups!$B$19</f>
        <v>63874.552895999994</v>
      </c>
      <c r="BP39" s="8">
        <f>SUM(Granger_Inventory[[#This Row],[Intercept]:[Patio_Value]])*Granger_Inventory[[#This Row],[res_pct]]</f>
        <v>295036.48577600002</v>
      </c>
      <c r="BQ39" s="8">
        <f>Granger_Inventory[[#This Row],[land_value]]</f>
        <v>21427.618862498482</v>
      </c>
      <c r="BR39" s="4">
        <f>_xlfn.IFNA(VLOOKUP(Granger_Inventory[[#This Row],[quality]],Lookups!$A$25:$C$35,3,FALSE),1)</f>
        <v>0.99049976351917957</v>
      </c>
      <c r="BS39" s="4">
        <f>_xlfn.IFNA(VLOOKUP(Granger_Inventory[[#This Row],[condition]],Lookups!$A$38:$C$45,3,FALSE),1)</f>
        <v>0.98658583151544277</v>
      </c>
      <c r="BT39" s="4">
        <f>IF(Granger_Inventory[[#This Row],[decade]]="",1,_xlfn.IFNA(VLOOKUP(Granger_Inventory[[#This Row],[decade]],Lookups!$G$28:$I$42,3,FALSE),1))</f>
        <v>1.0539470644652671</v>
      </c>
      <c r="BU39" s="4">
        <f>_xlfn.IFNA(VLOOKUP(Granger_Inventory[[#This Row],[living_area_range]],Lookups!$A$48:$C$57,3,FALSE),1)</f>
        <v>0.97960506760539345</v>
      </c>
      <c r="BV39" s="4">
        <f>AVERAGE(Granger_Inventory[[#This Row],[qual_adj]:[living_range_adj]])</f>
        <v>1.0026594317763207</v>
      </c>
      <c r="BW39" s="8">
        <f>(Granger_Inventory[[#This Row],[sum_land]]-IF(Granger_Inventory[[#This Row],[no_utilities]]=1,12000,0))/IF(Granger_Inventory[[#This Row],[unbuildable]]=1,2,1)</f>
        <v>21427.618862498482</v>
      </c>
      <c r="BX39" s="8">
        <f>Granger_Inventory[[#This Row],[pre_res]]*Granger_Inventory[[#This Row],[overall_adj]]</f>
        <v>295821.11518144672</v>
      </c>
      <c r="BY39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9">
        <f>ROUND(Granger_Inventory[[#This Row],[detatched_value]]*Lookups!$I$45,-2)</f>
        <v>900</v>
      </c>
      <c r="CA39">
        <f>IF(ROUND(Granger_Inventory[[#This Row],[adj_res]]*Lookups!$I$45,-2)&lt;Granger_Inventory[[#This Row],[min_res]],Granger_Inventory[[#This Row],[min_res]],ROUND(Granger_Inventory[[#This Row],[adj_res]]*Lookups!$I$45,-2))</f>
        <v>281000</v>
      </c>
      <c r="CB39">
        <f>Granger_Inventory[[#This Row],[final_det]]+Granger_Inventory[[#This Row],[final_res]]</f>
        <v>281900</v>
      </c>
      <c r="CC39">
        <f>Granger_Inventory[[#This Row],[final_land]]+Granger_Inventory[[#This Row],[final_imp]]+Granger_Inventory[[#This Row],[crop_value]]</f>
        <v>302300</v>
      </c>
      <c r="CE39" t="str">
        <f t="shared" si="0"/>
        <v>update valuation set market_land =20400, market_bldg=281900, market_total =302300, market_mdno =402, market_date ='9/10/2023' where link_id = (select link_id from parcel where parcel_year = '2024' and parcel_id = '21101531440');</v>
      </c>
    </row>
    <row r="40" spans="1:83" x14ac:dyDescent="0.25">
      <c r="A40">
        <v>21101531441</v>
      </c>
      <c r="B40">
        <v>0.16</v>
      </c>
      <c r="C40">
        <v>7067</v>
      </c>
      <c r="D40" t="s">
        <v>137</v>
      </c>
      <c r="E40" t="s">
        <v>54</v>
      </c>
      <c r="F40" t="s">
        <v>54</v>
      </c>
      <c r="G40">
        <v>3</v>
      </c>
      <c r="H40" t="s">
        <v>55</v>
      </c>
      <c r="I40">
        <v>301200</v>
      </c>
      <c r="J40">
        <v>26700</v>
      </c>
      <c r="K40">
        <v>0.16</v>
      </c>
      <c r="L4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0">
        <v>0</v>
      </c>
      <c r="N40">
        <v>0</v>
      </c>
      <c r="O40">
        <v>0</v>
      </c>
      <c r="P40">
        <v>47108.068500000001</v>
      </c>
      <c r="Q40">
        <v>122298</v>
      </c>
      <c r="R40">
        <f>(Granger_Inventory[[#This Row],[ln_acres]]*Granger_Inventory[[#This Row],[coeff]])+Granger_Inventory[[#This Row],[const]]</f>
        <v>35968.626873914327</v>
      </c>
      <c r="S40" t="s">
        <v>59</v>
      </c>
      <c r="T40">
        <v>1</v>
      </c>
      <c r="U40" t="s">
        <v>57</v>
      </c>
      <c r="V40" t="s">
        <v>58</v>
      </c>
      <c r="W40">
        <v>0</v>
      </c>
      <c r="X40">
        <v>0</v>
      </c>
      <c r="Y40">
        <v>10</v>
      </c>
      <c r="Z40">
        <v>10</v>
      </c>
      <c r="AA40">
        <v>10</v>
      </c>
      <c r="AB40">
        <v>1500</v>
      </c>
      <c r="AC40">
        <v>1476</v>
      </c>
      <c r="AD40">
        <v>1476</v>
      </c>
      <c r="AE40">
        <v>0</v>
      </c>
      <c r="AF40">
        <v>0</v>
      </c>
      <c r="AG40">
        <v>0</v>
      </c>
      <c r="AH40">
        <v>0</v>
      </c>
      <c r="AI40">
        <v>400</v>
      </c>
      <c r="AJ40">
        <v>0</v>
      </c>
      <c r="AK40">
        <v>0</v>
      </c>
      <c r="AL40">
        <v>0</v>
      </c>
      <c r="AM40">
        <v>120</v>
      </c>
      <c r="AN40">
        <v>0</v>
      </c>
      <c r="AO40">
        <v>0</v>
      </c>
      <c r="AP40">
        <v>8</v>
      </c>
      <c r="AQ40">
        <v>0</v>
      </c>
      <c r="AR40">
        <v>0</v>
      </c>
      <c r="AS40" t="s">
        <v>59</v>
      </c>
      <c r="AT40">
        <v>1</v>
      </c>
      <c r="AU40" t="s">
        <v>60</v>
      </c>
      <c r="AV40" t="s">
        <v>65</v>
      </c>
      <c r="AW40">
        <v>1</v>
      </c>
      <c r="AX40">
        <v>3</v>
      </c>
      <c r="AY40">
        <v>0</v>
      </c>
      <c r="AZ40">
        <v>0</v>
      </c>
      <c r="BA40">
        <v>100</v>
      </c>
      <c r="BB40">
        <v>100</v>
      </c>
      <c r="BC40">
        <v>100</v>
      </c>
      <c r="BD40">
        <v>100</v>
      </c>
      <c r="BE40">
        <v>1</v>
      </c>
      <c r="BF40">
        <v>15000</v>
      </c>
      <c r="BG40">
        <v>1000</v>
      </c>
      <c r="BH40" s="8">
        <f>Granger_Inventory[[#This Row],[land_extract]]*Lookups!$B$3</f>
        <v>21427.618862498482</v>
      </c>
      <c r="BI40" s="8">
        <f>IF(Granger_Inventory[[#This Row],[bldg_style]]="",0,Lookups!$B$2)</f>
        <v>29703.559000000001</v>
      </c>
      <c r="BJ40" s="8">
        <f>_xlfn.IFNA(VLOOKUP(Granger_Inventory[[#This Row],[quality]],Lookups!$H$2:$J$14,3,FALSE),0)</f>
        <v>56414</v>
      </c>
      <c r="BK40" s="8">
        <f>_xlfn.IFNA(VLOOKUP(Granger_Inventory[[#This Row],[condition]],Lookups!$H$17:$J$24,3,FALSE),0)</f>
        <v>101774</v>
      </c>
      <c r="BL40" s="8">
        <f>Granger_Inventory[[#This Row],[Age]]*Lookups!$B$16</f>
        <v>-2073.3109999999997</v>
      </c>
      <c r="BM40" s="8">
        <f>Granger_Inventory[[#This Row],[living_area]]*Lookups!$B$17</f>
        <v>99294.813683999993</v>
      </c>
      <c r="BN40" s="8">
        <f>(Granger_Inventory[[#This Row],[att_gar]]+Granger_Inventory[[#This Row],[blt_gar]])*Lookups!$B$18</f>
        <v>19379.0344</v>
      </c>
      <c r="BO40" s="8">
        <f>Granger_Inventory[[#This Row],[Patio]]*Lookups!$B$19</f>
        <v>6517.8115199999993</v>
      </c>
      <c r="BP40" s="8">
        <f>SUM(Granger_Inventory[[#This Row],[Intercept]:[Patio_Value]])*Granger_Inventory[[#This Row],[res_pct]]</f>
        <v>311009.90760400001</v>
      </c>
      <c r="BQ40" s="8">
        <f>Granger_Inventory[[#This Row],[land_value]]</f>
        <v>21427.618862498482</v>
      </c>
      <c r="BR40" s="4">
        <f>_xlfn.IFNA(VLOOKUP(Granger_Inventory[[#This Row],[quality]],Lookups!$A$25:$C$35,3,FALSE),1)</f>
        <v>0.98791809110152173</v>
      </c>
      <c r="BS40" s="4">
        <f>_xlfn.IFNA(VLOOKUP(Granger_Inventory[[#This Row],[condition]],Lookups!$A$38:$C$45,3,FALSE),1)</f>
        <v>0.99135053432734199</v>
      </c>
      <c r="BT40" s="4">
        <f>IF(Granger_Inventory[[#This Row],[decade]]="",1,_xlfn.IFNA(VLOOKUP(Granger_Inventory[[#This Row],[decade]],Lookups!$G$28:$I$42,3,FALSE),1))</f>
        <v>0.95532362136731586</v>
      </c>
      <c r="BU40" s="4">
        <f>_xlfn.IFNA(VLOOKUP(Granger_Inventory[[#This Row],[living_area_range]],Lookups!$A$48:$C$57,3,FALSE),1)</f>
        <v>0.97960506760539345</v>
      </c>
      <c r="BV40" s="4">
        <f>AVERAGE(Granger_Inventory[[#This Row],[qual_adj]:[living_range_adj]])</f>
        <v>0.97854932860039323</v>
      </c>
      <c r="BW40" s="8">
        <f>(Granger_Inventory[[#This Row],[sum_land]]-IF(Granger_Inventory[[#This Row],[no_utilities]]=1,12000,0))/IF(Granger_Inventory[[#This Row],[unbuildable]]=1,2,1)</f>
        <v>21427.618862498482</v>
      </c>
      <c r="BX40" s="8">
        <f>Granger_Inventory[[#This Row],[pre_res]]*Granger_Inventory[[#This Row],[overall_adj]]</f>
        <v>304338.53627396456</v>
      </c>
      <c r="BY4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0">
        <f>ROUND(Granger_Inventory[[#This Row],[detatched_value]]*Lookups!$I$45,-2)</f>
        <v>0</v>
      </c>
      <c r="CA40">
        <f>IF(ROUND(Granger_Inventory[[#This Row],[adj_res]]*Lookups!$I$45,-2)&lt;Granger_Inventory[[#This Row],[min_res]],Granger_Inventory[[#This Row],[min_res]],ROUND(Granger_Inventory[[#This Row],[adj_res]]*Lookups!$I$45,-2))</f>
        <v>289100</v>
      </c>
      <c r="CB40">
        <f>Granger_Inventory[[#This Row],[final_det]]+Granger_Inventory[[#This Row],[final_res]]</f>
        <v>289100</v>
      </c>
      <c r="CC40">
        <f>Granger_Inventory[[#This Row],[final_land]]+Granger_Inventory[[#This Row],[final_imp]]+Granger_Inventory[[#This Row],[crop_value]]</f>
        <v>309500</v>
      </c>
      <c r="CE40" t="str">
        <f t="shared" si="0"/>
        <v>update valuation set market_land =20400, market_bldg=289100, market_total =309500, market_mdno =402, market_date ='9/10/2023' where link_id = (select link_id from parcel where parcel_year = '2024' and parcel_id = '21101531441');</v>
      </c>
    </row>
    <row r="41" spans="1:83" x14ac:dyDescent="0.25">
      <c r="A41">
        <v>21101531442</v>
      </c>
      <c r="B41">
        <v>0.16</v>
      </c>
      <c r="C41">
        <v>7101</v>
      </c>
      <c r="D41" t="s">
        <v>137</v>
      </c>
      <c r="E41" t="s">
        <v>54</v>
      </c>
      <c r="F41" t="s">
        <v>54</v>
      </c>
      <c r="G41">
        <v>3</v>
      </c>
      <c r="H41" t="s">
        <v>55</v>
      </c>
      <c r="I41">
        <v>277000</v>
      </c>
      <c r="J41">
        <v>26700</v>
      </c>
      <c r="K41">
        <v>0.16</v>
      </c>
      <c r="L4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">
        <v>0</v>
      </c>
      <c r="N41">
        <v>0</v>
      </c>
      <c r="O41">
        <v>0</v>
      </c>
      <c r="P41">
        <v>47108.068500000001</v>
      </c>
      <c r="Q41">
        <v>122298</v>
      </c>
      <c r="R41">
        <f>(Granger_Inventory[[#This Row],[ln_acres]]*Granger_Inventory[[#This Row],[coeff]])+Granger_Inventory[[#This Row],[const]]</f>
        <v>35968.626873914327</v>
      </c>
      <c r="S41" t="s">
        <v>59</v>
      </c>
      <c r="T41">
        <v>1</v>
      </c>
      <c r="U41" t="s">
        <v>57</v>
      </c>
      <c r="V41" t="s">
        <v>58</v>
      </c>
      <c r="W41">
        <v>0</v>
      </c>
      <c r="X41">
        <v>0</v>
      </c>
      <c r="Y41">
        <v>10</v>
      </c>
      <c r="Z41">
        <v>10</v>
      </c>
      <c r="AA41">
        <v>10</v>
      </c>
      <c r="AB41">
        <v>1500</v>
      </c>
      <c r="AC41">
        <v>1152</v>
      </c>
      <c r="AD41">
        <v>1152</v>
      </c>
      <c r="AE41">
        <v>0</v>
      </c>
      <c r="AF41">
        <v>0</v>
      </c>
      <c r="AG41">
        <v>0</v>
      </c>
      <c r="AH41">
        <v>0</v>
      </c>
      <c r="AI41">
        <v>400</v>
      </c>
      <c r="AJ41">
        <v>0</v>
      </c>
      <c r="AK41">
        <v>0</v>
      </c>
      <c r="AL41">
        <v>0</v>
      </c>
      <c r="AM41">
        <v>72</v>
      </c>
      <c r="AN41">
        <v>0</v>
      </c>
      <c r="AO41">
        <v>56</v>
      </c>
      <c r="AP41">
        <v>8</v>
      </c>
      <c r="AQ41">
        <v>0</v>
      </c>
      <c r="AR41">
        <v>0</v>
      </c>
      <c r="AS41" t="s">
        <v>59</v>
      </c>
      <c r="AT41">
        <v>1</v>
      </c>
      <c r="AU41" t="s">
        <v>60</v>
      </c>
      <c r="AV41" t="s">
        <v>65</v>
      </c>
      <c r="AW41">
        <v>1</v>
      </c>
      <c r="AX41">
        <v>3</v>
      </c>
      <c r="AY41">
        <v>0</v>
      </c>
      <c r="AZ41">
        <v>0</v>
      </c>
      <c r="BA41">
        <v>100</v>
      </c>
      <c r="BB41">
        <v>100</v>
      </c>
      <c r="BC41">
        <v>100</v>
      </c>
      <c r="BD41">
        <v>100</v>
      </c>
      <c r="BE41">
        <v>1</v>
      </c>
      <c r="BF41">
        <v>15000</v>
      </c>
      <c r="BG41">
        <v>1000</v>
      </c>
      <c r="BH41" s="8">
        <f>Granger_Inventory[[#This Row],[land_extract]]*Lookups!$B$3</f>
        <v>21427.618862498482</v>
      </c>
      <c r="BI41" s="8">
        <f>IF(Granger_Inventory[[#This Row],[bldg_style]]="",0,Lookups!$B$2)</f>
        <v>29703.559000000001</v>
      </c>
      <c r="BJ41" s="8">
        <f>_xlfn.IFNA(VLOOKUP(Granger_Inventory[[#This Row],[quality]],Lookups!$H$2:$J$14,3,FALSE),0)</f>
        <v>56414</v>
      </c>
      <c r="BK41" s="8">
        <f>_xlfn.IFNA(VLOOKUP(Granger_Inventory[[#This Row],[condition]],Lookups!$H$17:$J$24,3,FALSE),0)</f>
        <v>101774</v>
      </c>
      <c r="BL41" s="8">
        <f>Granger_Inventory[[#This Row],[Age]]*Lookups!$B$16</f>
        <v>-2073.3109999999997</v>
      </c>
      <c r="BM41" s="8">
        <f>Granger_Inventory[[#This Row],[living_area]]*Lookups!$B$17</f>
        <v>77498.391168000002</v>
      </c>
      <c r="BN41" s="8">
        <f>(Granger_Inventory[[#This Row],[att_gar]]+Granger_Inventory[[#This Row],[blt_gar]])*Lookups!$B$18</f>
        <v>19379.0344</v>
      </c>
      <c r="BO41" s="8">
        <f>Granger_Inventory[[#This Row],[Patio]]*Lookups!$B$19</f>
        <v>3910.6869119999997</v>
      </c>
      <c r="BP41" s="8">
        <f>SUM(Granger_Inventory[[#This Row],[Intercept]:[Patio_Value]])*Granger_Inventory[[#This Row],[res_pct]]</f>
        <v>286606.36048000003</v>
      </c>
      <c r="BQ41" s="8">
        <f>Granger_Inventory[[#This Row],[land_value]]</f>
        <v>21427.618862498482</v>
      </c>
      <c r="BR41" s="4">
        <f>_xlfn.IFNA(VLOOKUP(Granger_Inventory[[#This Row],[quality]],Lookups!$A$25:$C$35,3,FALSE),1)</f>
        <v>0.98791809110152173</v>
      </c>
      <c r="BS41" s="4">
        <f>_xlfn.IFNA(VLOOKUP(Granger_Inventory[[#This Row],[condition]],Lookups!$A$38:$C$45,3,FALSE),1)</f>
        <v>0.99135053432734199</v>
      </c>
      <c r="BT41" s="4">
        <f>IF(Granger_Inventory[[#This Row],[decade]]="",1,_xlfn.IFNA(VLOOKUP(Granger_Inventory[[#This Row],[decade]],Lookups!$G$28:$I$42,3,FALSE),1))</f>
        <v>0.95532362136731586</v>
      </c>
      <c r="BU41" s="4">
        <f>_xlfn.IFNA(VLOOKUP(Granger_Inventory[[#This Row],[living_area_range]],Lookups!$A$48:$C$57,3,FALSE),1)</f>
        <v>0.97960506760539345</v>
      </c>
      <c r="BV41" s="4">
        <f>AVERAGE(Granger_Inventory[[#This Row],[qual_adj]:[living_range_adj]])</f>
        <v>0.97854932860039323</v>
      </c>
      <c r="BW41" s="8">
        <f>(Granger_Inventory[[#This Row],[sum_land]]-IF(Granger_Inventory[[#This Row],[no_utilities]]=1,12000,0))/IF(Granger_Inventory[[#This Row],[unbuildable]]=1,2,1)</f>
        <v>21427.618862498482</v>
      </c>
      <c r="BX41" s="8">
        <f>Granger_Inventory[[#This Row],[pre_res]]*Granger_Inventory[[#This Row],[overall_adj]]</f>
        <v>280458.46162030631</v>
      </c>
      <c r="BY4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">
        <f>ROUND(Granger_Inventory[[#This Row],[detatched_value]]*Lookups!$I$45,-2)</f>
        <v>0</v>
      </c>
      <c r="CA41">
        <f>IF(ROUND(Granger_Inventory[[#This Row],[adj_res]]*Lookups!$I$45,-2)&lt;Granger_Inventory[[#This Row],[min_res]],Granger_Inventory[[#This Row],[min_res]],ROUND(Granger_Inventory[[#This Row],[adj_res]]*Lookups!$I$45,-2))</f>
        <v>266400</v>
      </c>
      <c r="CB41">
        <f>Granger_Inventory[[#This Row],[final_det]]+Granger_Inventory[[#This Row],[final_res]]</f>
        <v>266400</v>
      </c>
      <c r="CC41">
        <f>Granger_Inventory[[#This Row],[final_land]]+Granger_Inventory[[#This Row],[final_imp]]+Granger_Inventory[[#This Row],[crop_value]]</f>
        <v>286800</v>
      </c>
      <c r="CE41" t="str">
        <f t="shared" si="0"/>
        <v>update valuation set market_land =20400, market_bldg=266400, market_total =286800, market_mdno =402, market_date ='9/10/2023' where link_id = (select link_id from parcel where parcel_year = '2024' and parcel_id = '21101531442');</v>
      </c>
    </row>
    <row r="42" spans="1:83" x14ac:dyDescent="0.25">
      <c r="A42">
        <v>21101531443</v>
      </c>
      <c r="B42">
        <v>0.16</v>
      </c>
      <c r="C42">
        <v>7156</v>
      </c>
      <c r="D42" t="s">
        <v>137</v>
      </c>
      <c r="E42" t="s">
        <v>54</v>
      </c>
      <c r="F42" t="s">
        <v>54</v>
      </c>
      <c r="G42">
        <v>3</v>
      </c>
      <c r="H42" t="s">
        <v>55</v>
      </c>
      <c r="I42">
        <v>297300</v>
      </c>
      <c r="J42">
        <v>26700</v>
      </c>
      <c r="K42">
        <v>0.16</v>
      </c>
      <c r="L4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2">
        <v>0</v>
      </c>
      <c r="N42">
        <v>0</v>
      </c>
      <c r="O42">
        <v>0</v>
      </c>
      <c r="P42">
        <v>47108.068500000001</v>
      </c>
      <c r="Q42">
        <v>122298</v>
      </c>
      <c r="R42">
        <f>(Granger_Inventory[[#This Row],[ln_acres]]*Granger_Inventory[[#This Row],[coeff]])+Granger_Inventory[[#This Row],[const]]</f>
        <v>35968.626873914327</v>
      </c>
      <c r="S42" t="s">
        <v>56</v>
      </c>
      <c r="T42">
        <v>1</v>
      </c>
      <c r="U42" t="s">
        <v>57</v>
      </c>
      <c r="V42" t="s">
        <v>58</v>
      </c>
      <c r="W42">
        <v>0</v>
      </c>
      <c r="X42">
        <v>0</v>
      </c>
      <c r="Y42">
        <v>9</v>
      </c>
      <c r="Z42">
        <v>9</v>
      </c>
      <c r="AA42">
        <v>10</v>
      </c>
      <c r="AB42">
        <v>1500</v>
      </c>
      <c r="AC42">
        <v>1442</v>
      </c>
      <c r="AD42">
        <v>1442</v>
      </c>
      <c r="AE42">
        <v>0</v>
      </c>
      <c r="AF42">
        <v>0</v>
      </c>
      <c r="AG42">
        <v>0</v>
      </c>
      <c r="AH42">
        <v>0</v>
      </c>
      <c r="AI42">
        <v>420</v>
      </c>
      <c r="AJ42">
        <v>0</v>
      </c>
      <c r="AK42">
        <v>0</v>
      </c>
      <c r="AL42">
        <v>0</v>
      </c>
      <c r="AM42">
        <v>120</v>
      </c>
      <c r="AN42">
        <v>0</v>
      </c>
      <c r="AO42">
        <v>0</v>
      </c>
      <c r="AP42">
        <v>8</v>
      </c>
      <c r="AQ42">
        <v>0</v>
      </c>
      <c r="AR42">
        <v>0</v>
      </c>
      <c r="AS42" t="s">
        <v>59</v>
      </c>
      <c r="AT42">
        <v>1</v>
      </c>
      <c r="AU42" t="s">
        <v>60</v>
      </c>
      <c r="AV42" t="s">
        <v>65</v>
      </c>
      <c r="AW42">
        <v>1</v>
      </c>
      <c r="AX42">
        <v>4</v>
      </c>
      <c r="AY42">
        <v>0</v>
      </c>
      <c r="AZ42">
        <v>0</v>
      </c>
      <c r="BA42">
        <v>100</v>
      </c>
      <c r="BB42">
        <v>100</v>
      </c>
      <c r="BC42">
        <v>100</v>
      </c>
      <c r="BD42">
        <v>100</v>
      </c>
      <c r="BE42">
        <v>1</v>
      </c>
      <c r="BF42">
        <v>15000</v>
      </c>
      <c r="BG42">
        <v>1000</v>
      </c>
      <c r="BH42" s="8">
        <f>Granger_Inventory[[#This Row],[land_extract]]*Lookups!$B$3</f>
        <v>21427.618862498482</v>
      </c>
      <c r="BI42" s="8">
        <f>IF(Granger_Inventory[[#This Row],[bldg_style]]="",0,Lookups!$B$2)</f>
        <v>29703.559000000001</v>
      </c>
      <c r="BJ42" s="8">
        <f>_xlfn.IFNA(VLOOKUP(Granger_Inventory[[#This Row],[quality]],Lookups!$H$2:$J$14,3,FALSE),0)</f>
        <v>56414</v>
      </c>
      <c r="BK42" s="8">
        <f>_xlfn.IFNA(VLOOKUP(Granger_Inventory[[#This Row],[condition]],Lookups!$H$17:$J$24,3,FALSE),0)</f>
        <v>101774</v>
      </c>
      <c r="BL42" s="8">
        <f>Granger_Inventory[[#This Row],[Age]]*Lookups!$B$16</f>
        <v>-1865.9798999999998</v>
      </c>
      <c r="BM42" s="8">
        <f>Granger_Inventory[[#This Row],[living_area]]*Lookups!$B$17</f>
        <v>97007.534778000001</v>
      </c>
      <c r="BN42" s="8">
        <f>(Granger_Inventory[[#This Row],[att_gar]]+Granger_Inventory[[#This Row],[blt_gar]])*Lookups!$B$18</f>
        <v>20347.986120000001</v>
      </c>
      <c r="BO42" s="8">
        <f>Granger_Inventory[[#This Row],[Patio]]*Lookups!$B$19</f>
        <v>6517.8115199999993</v>
      </c>
      <c r="BP42" s="8">
        <f>SUM(Granger_Inventory[[#This Row],[Intercept]:[Patio_Value]])*Granger_Inventory[[#This Row],[res_pct]]</f>
        <v>309898.91151800001</v>
      </c>
      <c r="BQ42" s="8">
        <f>Granger_Inventory[[#This Row],[land_value]]</f>
        <v>21427.618862498482</v>
      </c>
      <c r="BR42" s="4">
        <f>_xlfn.IFNA(VLOOKUP(Granger_Inventory[[#This Row],[quality]],Lookups!$A$25:$C$35,3,FALSE),1)</f>
        <v>0.98791809110152173</v>
      </c>
      <c r="BS42" s="4">
        <f>_xlfn.IFNA(VLOOKUP(Granger_Inventory[[#This Row],[condition]],Lookups!$A$38:$C$45,3,FALSE),1)</f>
        <v>0.99135053432734199</v>
      </c>
      <c r="BT42" s="4">
        <f>IF(Granger_Inventory[[#This Row],[decade]]="",1,_xlfn.IFNA(VLOOKUP(Granger_Inventory[[#This Row],[decade]],Lookups!$G$28:$I$42,3,FALSE),1))</f>
        <v>0.95532362136731586</v>
      </c>
      <c r="BU42" s="4">
        <f>_xlfn.IFNA(VLOOKUP(Granger_Inventory[[#This Row],[living_area_range]],Lookups!$A$48:$C$57,3,FALSE),1)</f>
        <v>0.97960506760539345</v>
      </c>
      <c r="BV42" s="4">
        <f>AVERAGE(Granger_Inventory[[#This Row],[qual_adj]:[living_range_adj]])</f>
        <v>0.97854932860039323</v>
      </c>
      <c r="BW42" s="8">
        <f>(Granger_Inventory[[#This Row],[sum_land]]-IF(Granger_Inventory[[#This Row],[no_utilities]]=1,12000,0))/IF(Granger_Inventory[[#This Row],[unbuildable]]=1,2,1)</f>
        <v>21427.618862498482</v>
      </c>
      <c r="BX42" s="8">
        <f>Granger_Inventory[[#This Row],[pre_res]]*Granger_Inventory[[#This Row],[overall_adj]]</f>
        <v>303251.37179993157</v>
      </c>
      <c r="BY4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2">
        <f>ROUND(Granger_Inventory[[#This Row],[detatched_value]]*Lookups!$I$45,-2)</f>
        <v>0</v>
      </c>
      <c r="CA42">
        <f>IF(ROUND(Granger_Inventory[[#This Row],[adj_res]]*Lookups!$I$45,-2)&lt;Granger_Inventory[[#This Row],[min_res]],Granger_Inventory[[#This Row],[min_res]],ROUND(Granger_Inventory[[#This Row],[adj_res]]*Lookups!$I$45,-2))</f>
        <v>288100</v>
      </c>
      <c r="CB42">
        <f>Granger_Inventory[[#This Row],[final_det]]+Granger_Inventory[[#This Row],[final_res]]</f>
        <v>288100</v>
      </c>
      <c r="CC42">
        <f>Granger_Inventory[[#This Row],[final_land]]+Granger_Inventory[[#This Row],[final_imp]]+Granger_Inventory[[#This Row],[crop_value]]</f>
        <v>308500</v>
      </c>
      <c r="CE42" t="str">
        <f t="shared" si="0"/>
        <v>update valuation set market_land =20400, market_bldg=288100, market_total =308500, market_mdno =402, market_date ='9/10/2023' where link_id = (select link_id from parcel where parcel_year = '2024' and parcel_id = '21101531443');</v>
      </c>
    </row>
    <row r="43" spans="1:83" x14ac:dyDescent="0.25">
      <c r="A43">
        <v>21101531444</v>
      </c>
      <c r="B43">
        <v>8.0399999999999991</v>
      </c>
      <c r="C43" t="s">
        <v>137</v>
      </c>
      <c r="D43" t="s">
        <v>137</v>
      </c>
      <c r="E43" t="s">
        <v>54</v>
      </c>
      <c r="F43" t="s">
        <v>54</v>
      </c>
      <c r="G43">
        <v>3</v>
      </c>
      <c r="H43" t="s">
        <v>55</v>
      </c>
      <c r="I43">
        <v>392300</v>
      </c>
      <c r="J43">
        <v>50000</v>
      </c>
      <c r="K43">
        <v>8.0399999999999991</v>
      </c>
      <c r="L43">
        <f>IF(Granger_Inventory[[#This Row],[parcel_acres]]-Granger_Inventory[[#This Row],[non_valued_acres]] =0,0,LN(Granger_Inventory[[#This Row],[parcel_acres]]-Granger_Inventory[[#This Row],[non_valued_acres]]))</f>
        <v>2.0844290831908747</v>
      </c>
      <c r="M43">
        <v>0</v>
      </c>
      <c r="N43">
        <v>0</v>
      </c>
      <c r="O43">
        <v>0</v>
      </c>
      <c r="P43">
        <v>47108.068500000001</v>
      </c>
      <c r="Q43">
        <v>122298</v>
      </c>
      <c r="R43">
        <f>(Granger_Inventory[[#This Row],[ln_acres]]*Granger_Inventory[[#This Row],[coeff]])+Granger_Inventory[[#This Row],[const]]</f>
        <v>220491.42803434795</v>
      </c>
      <c r="S43" t="s">
        <v>59</v>
      </c>
      <c r="T43">
        <v>1</v>
      </c>
      <c r="U43" t="s">
        <v>61</v>
      </c>
      <c r="V43" t="s">
        <v>58</v>
      </c>
      <c r="W43">
        <v>0</v>
      </c>
      <c r="X43">
        <v>0</v>
      </c>
      <c r="Y43">
        <v>7</v>
      </c>
      <c r="Z43">
        <v>7</v>
      </c>
      <c r="AA43">
        <v>10</v>
      </c>
      <c r="AB43">
        <v>2500</v>
      </c>
      <c r="AC43">
        <v>2052</v>
      </c>
      <c r="AD43">
        <v>2052</v>
      </c>
      <c r="AE43">
        <v>0</v>
      </c>
      <c r="AF43">
        <v>0</v>
      </c>
      <c r="AG43">
        <v>0</v>
      </c>
      <c r="AH43">
        <v>0</v>
      </c>
      <c r="AI43">
        <v>528</v>
      </c>
      <c r="AJ43">
        <v>0</v>
      </c>
      <c r="AK43">
        <v>0</v>
      </c>
      <c r="AL43">
        <v>0</v>
      </c>
      <c r="AM43">
        <v>0</v>
      </c>
      <c r="AN43">
        <v>553</v>
      </c>
      <c r="AO43">
        <v>0</v>
      </c>
      <c r="AP43">
        <v>13</v>
      </c>
      <c r="AQ43">
        <v>0</v>
      </c>
      <c r="AR43">
        <v>0</v>
      </c>
      <c r="AS43" t="s">
        <v>59</v>
      </c>
      <c r="AT43">
        <v>1</v>
      </c>
      <c r="AU43" t="s">
        <v>60</v>
      </c>
      <c r="AV43" t="s">
        <v>61</v>
      </c>
      <c r="AW43">
        <v>1</v>
      </c>
      <c r="AX43">
        <v>3</v>
      </c>
      <c r="AY43">
        <v>10200</v>
      </c>
      <c r="AZ43">
        <v>0</v>
      </c>
      <c r="BA43">
        <v>100</v>
      </c>
      <c r="BB43">
        <v>100</v>
      </c>
      <c r="BC43">
        <v>100</v>
      </c>
      <c r="BD43">
        <v>100</v>
      </c>
      <c r="BE43">
        <v>1</v>
      </c>
      <c r="BF43">
        <v>15000</v>
      </c>
      <c r="BG43">
        <v>1000</v>
      </c>
      <c r="BH43" s="8">
        <f>Granger_Inventory[[#This Row],[land_extract]]*Lookups!$B$3</f>
        <v>131353.53481604453</v>
      </c>
      <c r="BI43" s="8">
        <f>IF(Granger_Inventory[[#This Row],[bldg_style]]="",0,Lookups!$B$2)</f>
        <v>29703.559000000001</v>
      </c>
      <c r="BJ43" s="8">
        <f>_xlfn.IFNA(VLOOKUP(Granger_Inventory[[#This Row],[quality]],Lookups!$H$2:$J$14,3,FALSE),0)</f>
        <v>71767</v>
      </c>
      <c r="BK43" s="8">
        <f>_xlfn.IFNA(VLOOKUP(Granger_Inventory[[#This Row],[condition]],Lookups!$H$17:$J$24,3,FALSE),0)</f>
        <v>101774</v>
      </c>
      <c r="BL43" s="8">
        <f>Granger_Inventory[[#This Row],[Age]]*Lookups!$B$16</f>
        <v>-1451.3177000000001</v>
      </c>
      <c r="BM43" s="8">
        <f>Granger_Inventory[[#This Row],[living_area]]*Lookups!$B$17</f>
        <v>138044.00926799999</v>
      </c>
      <c r="BN43" s="8">
        <f>(Granger_Inventory[[#This Row],[att_gar]]+Granger_Inventory[[#This Row],[blt_gar]])*Lookups!$B$18</f>
        <v>25580.325408000001</v>
      </c>
      <c r="BO43" s="8">
        <f>Granger_Inventory[[#This Row],[Patio]]*Lookups!$B$19</f>
        <v>0</v>
      </c>
      <c r="BP43" s="8">
        <f>SUM(Granger_Inventory[[#This Row],[Intercept]:[Patio_Value]])*Granger_Inventory[[#This Row],[res_pct]]</f>
        <v>365417.57597599999</v>
      </c>
      <c r="BQ43" s="8">
        <f>Granger_Inventory[[#This Row],[land_value]]</f>
        <v>131353.53481604453</v>
      </c>
      <c r="BR43" s="4">
        <f>_xlfn.IFNA(VLOOKUP(Granger_Inventory[[#This Row],[quality]],Lookups!$A$25:$C$35,3,FALSE),1)</f>
        <v>0.992092799099482</v>
      </c>
      <c r="BS43" s="4">
        <f>_xlfn.IFNA(VLOOKUP(Granger_Inventory[[#This Row],[condition]],Lookups!$A$38:$C$45,3,FALSE),1)</f>
        <v>0.99135053432734199</v>
      </c>
      <c r="BT43" s="4">
        <f>IF(Granger_Inventory[[#This Row],[decade]]="",1,_xlfn.IFNA(VLOOKUP(Granger_Inventory[[#This Row],[decade]],Lookups!$G$28:$I$42,3,FALSE),1))</f>
        <v>0.95532362136731586</v>
      </c>
      <c r="BU43" s="4">
        <f>_xlfn.IFNA(VLOOKUP(Granger_Inventory[[#This Row],[living_area_range]],Lookups!$A$48:$C$57,3,FALSE),1)</f>
        <v>1.0000039906678986</v>
      </c>
      <c r="BV43" s="4">
        <f>AVERAGE(Granger_Inventory[[#This Row],[qual_adj]:[living_range_adj]])</f>
        <v>0.98469273636550958</v>
      </c>
      <c r="BW43" s="8">
        <f>(Granger_Inventory[[#This Row],[sum_land]]-IF(Granger_Inventory[[#This Row],[no_utilities]]=1,12000,0))/IF(Granger_Inventory[[#This Row],[unbuildable]]=1,2,1)</f>
        <v>131353.53481604453</v>
      </c>
      <c r="BX43" s="8">
        <f>Granger_Inventory[[#This Row],[pre_res]]*Granger_Inventory[[#This Row],[overall_adj]]</f>
        <v>359824.03280385892</v>
      </c>
      <c r="BY43">
        <f>IF(ROUND(Granger_Inventory[[#This Row],[adj_land]]*Lookups!$I$45,-2)&lt;Granger_Inventory[[#This Row],[min_land]],Granger_Inventory[[#This Row],[min_land]],ROUND(Granger_Inventory[[#This Row],[adj_land]]*Lookups!$I$45,-2))</f>
        <v>124800</v>
      </c>
      <c r="BZ43">
        <f>ROUND(Granger_Inventory[[#This Row],[detatched_value]]*Lookups!$I$45,-2)</f>
        <v>0</v>
      </c>
      <c r="CA43">
        <f>IF(ROUND(Granger_Inventory[[#This Row],[adj_res]]*Lookups!$I$45,-2)&lt;Granger_Inventory[[#This Row],[min_res]],Granger_Inventory[[#This Row],[min_res]],ROUND(Granger_Inventory[[#This Row],[adj_res]]*Lookups!$I$45,-2))</f>
        <v>341800</v>
      </c>
      <c r="CB43">
        <f>Granger_Inventory[[#This Row],[final_det]]+Granger_Inventory[[#This Row],[final_res]]</f>
        <v>341800</v>
      </c>
      <c r="CC43">
        <f>Granger_Inventory[[#This Row],[final_land]]+Granger_Inventory[[#This Row],[final_imp]]+Granger_Inventory[[#This Row],[crop_value]]</f>
        <v>476800</v>
      </c>
      <c r="CE43" t="str">
        <f t="shared" si="0"/>
        <v>update valuation set market_land =124800, market_bldg=341800, market_total =476800, market_mdno =402, market_date ='9/10/2023' where link_id = (select link_id from parcel where parcel_year = '2024' and parcel_id = '21101531444');</v>
      </c>
    </row>
    <row r="44" spans="1:83" x14ac:dyDescent="0.25">
      <c r="A44">
        <v>21101531446</v>
      </c>
      <c r="B44">
        <v>0.31</v>
      </c>
      <c r="C44">
        <v>13603</v>
      </c>
      <c r="D44" t="s">
        <v>137</v>
      </c>
      <c r="E44" t="s">
        <v>54</v>
      </c>
      <c r="F44" t="s">
        <v>54</v>
      </c>
      <c r="G44">
        <v>3</v>
      </c>
      <c r="H44" t="s">
        <v>55</v>
      </c>
      <c r="I44">
        <v>274400</v>
      </c>
      <c r="J44">
        <v>30600</v>
      </c>
      <c r="K44">
        <v>0.31</v>
      </c>
      <c r="L44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44">
        <v>0</v>
      </c>
      <c r="N44">
        <v>0</v>
      </c>
      <c r="O44">
        <v>0</v>
      </c>
      <c r="P44">
        <v>47108.068500000001</v>
      </c>
      <c r="Q44">
        <v>122298</v>
      </c>
      <c r="R44">
        <f>(Granger_Inventory[[#This Row],[ln_acres]]*Granger_Inventory[[#This Row],[coeff]])+Granger_Inventory[[#This Row],[const]]</f>
        <v>67125.831881325023</v>
      </c>
      <c r="S44" t="s">
        <v>56</v>
      </c>
      <c r="T44">
        <v>1</v>
      </c>
      <c r="U44" t="s">
        <v>57</v>
      </c>
      <c r="V44" t="s">
        <v>72</v>
      </c>
      <c r="W44">
        <v>0</v>
      </c>
      <c r="X44">
        <v>0</v>
      </c>
      <c r="Y44">
        <v>21</v>
      </c>
      <c r="Z44">
        <v>21</v>
      </c>
      <c r="AA44">
        <v>30</v>
      </c>
      <c r="AB44">
        <v>1500</v>
      </c>
      <c r="AC44">
        <v>1368</v>
      </c>
      <c r="AD44">
        <v>1368</v>
      </c>
      <c r="AE44">
        <v>0</v>
      </c>
      <c r="AF44">
        <v>0</v>
      </c>
      <c r="AG44">
        <v>0</v>
      </c>
      <c r="AH44">
        <v>0</v>
      </c>
      <c r="AI44">
        <v>400</v>
      </c>
      <c r="AJ44">
        <v>0</v>
      </c>
      <c r="AK44">
        <v>0</v>
      </c>
      <c r="AL44">
        <v>0</v>
      </c>
      <c r="AM44">
        <v>80</v>
      </c>
      <c r="AN44">
        <v>50</v>
      </c>
      <c r="AO44">
        <v>416</v>
      </c>
      <c r="AP44">
        <v>9</v>
      </c>
      <c r="AQ44">
        <v>0</v>
      </c>
      <c r="AR44">
        <v>0</v>
      </c>
      <c r="AS44" t="s">
        <v>59</v>
      </c>
      <c r="AT44">
        <v>1</v>
      </c>
      <c r="AU44" t="s">
        <v>60</v>
      </c>
      <c r="AV44" t="s">
        <v>65</v>
      </c>
      <c r="AW44">
        <v>1</v>
      </c>
      <c r="AX44">
        <v>4</v>
      </c>
      <c r="AY44">
        <v>0</v>
      </c>
      <c r="AZ44">
        <v>0</v>
      </c>
      <c r="BA44">
        <v>100</v>
      </c>
      <c r="BB44">
        <v>100</v>
      </c>
      <c r="BC44">
        <v>100</v>
      </c>
      <c r="BD44">
        <v>100</v>
      </c>
      <c r="BE44">
        <v>1</v>
      </c>
      <c r="BF44">
        <v>15000</v>
      </c>
      <c r="BG44">
        <v>1000</v>
      </c>
      <c r="BH44" s="8">
        <f>Granger_Inventory[[#This Row],[land_extract]]*Lookups!$B$3</f>
        <v>39988.925527327257</v>
      </c>
      <c r="BI44" s="8">
        <f>IF(Granger_Inventory[[#This Row],[bldg_style]]="",0,Lookups!$B$2)</f>
        <v>29703.559000000001</v>
      </c>
      <c r="BJ44" s="8">
        <f>_xlfn.IFNA(VLOOKUP(Granger_Inventory[[#This Row],[quality]],Lookups!$H$2:$J$14,3,FALSE),0)</f>
        <v>56414</v>
      </c>
      <c r="BK44" s="8">
        <f>_xlfn.IFNA(VLOOKUP(Granger_Inventory[[#This Row],[condition]],Lookups!$H$17:$J$24,3,FALSE),0)</f>
        <v>94106</v>
      </c>
      <c r="BL44" s="8">
        <f>Granger_Inventory[[#This Row],[Age]]*Lookups!$B$16</f>
        <v>-4353.9530999999997</v>
      </c>
      <c r="BM44" s="8">
        <f>Granger_Inventory[[#This Row],[living_area]]*Lookups!$B$17</f>
        <v>92029.339511999991</v>
      </c>
      <c r="BN44" s="8">
        <f>(Granger_Inventory[[#This Row],[att_gar]]+Granger_Inventory[[#This Row],[blt_gar]])*Lookups!$B$18</f>
        <v>19379.0344</v>
      </c>
      <c r="BO44" s="8">
        <f>Granger_Inventory[[#This Row],[Patio]]*Lookups!$B$19</f>
        <v>4345.2076799999995</v>
      </c>
      <c r="BP44" s="8">
        <f>SUM(Granger_Inventory[[#This Row],[Intercept]:[Patio_Value]])*Granger_Inventory[[#This Row],[res_pct]]</f>
        <v>291623.187492</v>
      </c>
      <c r="BQ44" s="8">
        <f>Granger_Inventory[[#This Row],[land_value]]</f>
        <v>39988.925527327257</v>
      </c>
      <c r="BR44" s="4">
        <f>_xlfn.IFNA(VLOOKUP(Granger_Inventory[[#This Row],[quality]],Lookups!$A$25:$C$35,3,FALSE),1)</f>
        <v>0.98791809110152173</v>
      </c>
      <c r="BS44" s="4">
        <f>_xlfn.IFNA(VLOOKUP(Granger_Inventory[[#This Row],[condition]],Lookups!$A$38:$C$45,3,FALSE),1)</f>
        <v>0.98658583151544277</v>
      </c>
      <c r="BT44" s="4">
        <f>IF(Granger_Inventory[[#This Row],[decade]]="",1,_xlfn.IFNA(VLOOKUP(Granger_Inventory[[#This Row],[decade]],Lookups!$G$28:$I$42,3,FALSE),1))</f>
        <v>1.0539470644652671</v>
      </c>
      <c r="BU44" s="4">
        <f>_xlfn.IFNA(VLOOKUP(Granger_Inventory[[#This Row],[living_area_range]],Lookups!$A$48:$C$57,3,FALSE),1)</f>
        <v>0.97960506760539345</v>
      </c>
      <c r="BV44" s="4">
        <f>AVERAGE(Granger_Inventory[[#This Row],[qual_adj]:[living_range_adj]])</f>
        <v>1.0020140136719062</v>
      </c>
      <c r="BW44" s="8">
        <f>(Granger_Inventory[[#This Row],[sum_land]]-IF(Granger_Inventory[[#This Row],[no_utilities]]=1,12000,0))/IF(Granger_Inventory[[#This Row],[unbuildable]]=1,2,1)</f>
        <v>39988.925527327257</v>
      </c>
      <c r="BX44" s="8">
        <f>Granger_Inventory[[#This Row],[pre_res]]*Granger_Inventory[[#This Row],[overall_adj]]</f>
        <v>292210.52057865378</v>
      </c>
      <c r="BY44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44">
        <f>ROUND(Granger_Inventory[[#This Row],[detatched_value]]*Lookups!$I$45,-2)</f>
        <v>0</v>
      </c>
      <c r="CA44">
        <f>IF(ROUND(Granger_Inventory[[#This Row],[adj_res]]*Lookups!$I$45,-2)&lt;Granger_Inventory[[#This Row],[min_res]],Granger_Inventory[[#This Row],[min_res]],ROUND(Granger_Inventory[[#This Row],[adj_res]]*Lookups!$I$45,-2))</f>
        <v>277600</v>
      </c>
      <c r="CB44">
        <f>Granger_Inventory[[#This Row],[final_det]]+Granger_Inventory[[#This Row],[final_res]]</f>
        <v>277600</v>
      </c>
      <c r="CC44">
        <f>Granger_Inventory[[#This Row],[final_land]]+Granger_Inventory[[#This Row],[final_imp]]+Granger_Inventory[[#This Row],[crop_value]]</f>
        <v>315600</v>
      </c>
      <c r="CE44" t="str">
        <f t="shared" si="0"/>
        <v>update valuation set market_land =38000, market_bldg=277600, market_total =315600, market_mdno =402, market_date ='9/10/2023' where link_id = (select link_id from parcel where parcel_year = '2024' and parcel_id = '21101531446');</v>
      </c>
    </row>
    <row r="45" spans="1:83" x14ac:dyDescent="0.25">
      <c r="A45">
        <v>21101532401</v>
      </c>
      <c r="B45">
        <v>0.88</v>
      </c>
      <c r="C45">
        <v>38530</v>
      </c>
      <c r="D45" t="s">
        <v>137</v>
      </c>
      <c r="E45" t="s">
        <v>54</v>
      </c>
      <c r="F45" t="s">
        <v>54</v>
      </c>
      <c r="G45">
        <v>3</v>
      </c>
      <c r="H45" t="s">
        <v>55</v>
      </c>
      <c r="I45">
        <v>195900</v>
      </c>
      <c r="J45">
        <v>34400</v>
      </c>
      <c r="K45">
        <v>0.88</v>
      </c>
      <c r="L45">
        <f>IF(Granger_Inventory[[#This Row],[parcel_acres]]-Granger_Inventory[[#This Row],[non_valued_acres]] =0,0,LN(Granger_Inventory[[#This Row],[parcel_acres]]-Granger_Inventory[[#This Row],[non_valued_acres]]))</f>
        <v>-0.12783337150988489</v>
      </c>
      <c r="M45">
        <v>0</v>
      </c>
      <c r="N45">
        <v>0</v>
      </c>
      <c r="O45">
        <v>0</v>
      </c>
      <c r="P45">
        <v>47108.068500000001</v>
      </c>
      <c r="Q45">
        <v>122298</v>
      </c>
      <c r="R45">
        <f>(Granger_Inventory[[#This Row],[ln_acres]]*Granger_Inventory[[#This Row],[coeff]])+Granger_Inventory[[#This Row],[const]]</f>
        <v>116276.01677832639</v>
      </c>
      <c r="S45" t="s">
        <v>59</v>
      </c>
      <c r="T45">
        <v>2</v>
      </c>
      <c r="U45" t="s">
        <v>71</v>
      </c>
      <c r="V45" t="s">
        <v>77</v>
      </c>
      <c r="W45">
        <v>0</v>
      </c>
      <c r="X45">
        <v>0</v>
      </c>
      <c r="Y45">
        <v>51</v>
      </c>
      <c r="Z45">
        <v>77</v>
      </c>
      <c r="AA45">
        <v>80</v>
      </c>
      <c r="AB45">
        <v>2000</v>
      </c>
      <c r="AC45">
        <v>1517</v>
      </c>
      <c r="AD45">
        <v>1025</v>
      </c>
      <c r="AE45">
        <v>492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44</v>
      </c>
      <c r="AM45">
        <v>116</v>
      </c>
      <c r="AN45">
        <v>0</v>
      </c>
      <c r="AO45">
        <v>160</v>
      </c>
      <c r="AP45">
        <v>9</v>
      </c>
      <c r="AQ45">
        <v>1</v>
      </c>
      <c r="AR45">
        <v>0</v>
      </c>
      <c r="AS45" t="s">
        <v>59</v>
      </c>
      <c r="AT45">
        <v>0</v>
      </c>
      <c r="AU45" t="s">
        <v>83</v>
      </c>
      <c r="AV45" t="s">
        <v>61</v>
      </c>
      <c r="AW45">
        <v>0</v>
      </c>
      <c r="AX45">
        <v>4</v>
      </c>
      <c r="AY45">
        <v>0</v>
      </c>
      <c r="AZ45">
        <v>22900</v>
      </c>
      <c r="BA45">
        <v>100</v>
      </c>
      <c r="BB45">
        <v>100</v>
      </c>
      <c r="BC45">
        <v>100</v>
      </c>
      <c r="BD45">
        <v>100</v>
      </c>
      <c r="BE45">
        <v>1</v>
      </c>
      <c r="BF45">
        <v>15000</v>
      </c>
      <c r="BG45">
        <v>1000</v>
      </c>
      <c r="BH45" s="8">
        <f>Granger_Inventory[[#This Row],[land_extract]]*Lookups!$B$3</f>
        <v>69269.20449616581</v>
      </c>
      <c r="BI45" s="8">
        <f>IF(Granger_Inventory[[#This Row],[bldg_style]]="",0,Lookups!$B$2)</f>
        <v>29703.559000000001</v>
      </c>
      <c r="BJ45" s="8">
        <f>_xlfn.IFNA(VLOOKUP(Granger_Inventory[[#This Row],[quality]],Lookups!$H$2:$J$14,3,FALSE),0)</f>
        <v>34195</v>
      </c>
      <c r="BK45" s="8">
        <f>_xlfn.IFNA(VLOOKUP(Granger_Inventory[[#This Row],[condition]],Lookups!$H$17:$J$24,3,FALSE),0)</f>
        <v>33736</v>
      </c>
      <c r="BL45" s="8">
        <f>Granger_Inventory[[#This Row],[Age]]*Lookups!$B$16</f>
        <v>-15964.494699999999</v>
      </c>
      <c r="BM45" s="8">
        <f>Granger_Inventory[[#This Row],[living_area]]*Lookups!$B$17</f>
        <v>102053.002953</v>
      </c>
      <c r="BN45" s="8">
        <f>(Granger_Inventory[[#This Row],[att_gar]]+Granger_Inventory[[#This Row],[blt_gar]])*Lookups!$B$18</f>
        <v>0</v>
      </c>
      <c r="BO45" s="8">
        <f>Granger_Inventory[[#This Row],[Patio]]*Lookups!$B$19</f>
        <v>6300.551136</v>
      </c>
      <c r="BP45" s="8">
        <f>SUM(Granger_Inventory[[#This Row],[Intercept]:[Patio_Value]])*Granger_Inventory[[#This Row],[res_pct]]</f>
        <v>190023.61838900001</v>
      </c>
      <c r="BQ45" s="8">
        <f>Granger_Inventory[[#This Row],[land_value]]</f>
        <v>69269.20449616581</v>
      </c>
      <c r="BR45" s="4">
        <f>_xlfn.IFNA(VLOOKUP(Granger_Inventory[[#This Row],[quality]],Lookups!$A$25:$C$35,3,FALSE),1)</f>
        <v>0.98258795897788032</v>
      </c>
      <c r="BS45" s="4">
        <f>_xlfn.IFNA(VLOOKUP(Granger_Inventory[[#This Row],[condition]],Lookups!$A$38:$C$45,3,FALSE),1)</f>
        <v>0.92294678898076177</v>
      </c>
      <c r="BT45" s="4">
        <f>IF(Granger_Inventory[[#This Row],[decade]]="",1,_xlfn.IFNA(VLOOKUP(Granger_Inventory[[#This Row],[decade]],Lookups!$G$28:$I$42,3,FALSE),1))</f>
        <v>0.76006056002554967</v>
      </c>
      <c r="BU45" s="4">
        <f>_xlfn.IFNA(VLOOKUP(Granger_Inventory[[#This Row],[living_area_range]],Lookups!$A$48:$C$57,3,FALSE),1)</f>
        <v>0.97860968051050168</v>
      </c>
      <c r="BV45" s="4">
        <f>AVERAGE(Granger_Inventory[[#This Row],[qual_adj]:[living_range_adj]])</f>
        <v>0.91105124712367336</v>
      </c>
      <c r="BW45" s="8">
        <f>(Granger_Inventory[[#This Row],[sum_land]]-IF(Granger_Inventory[[#This Row],[no_utilities]]=1,12000,0))/IF(Granger_Inventory[[#This Row],[unbuildable]]=1,2,1)</f>
        <v>69269.20449616581</v>
      </c>
      <c r="BX45" s="8">
        <f>Granger_Inventory[[#This Row],[pre_res]]*Granger_Inventory[[#This Row],[overall_adj]]</f>
        <v>173121.25451625144</v>
      </c>
      <c r="BY45">
        <f>IF(ROUND(Granger_Inventory[[#This Row],[adj_land]]*Lookups!$I$45,-2)&lt;Granger_Inventory[[#This Row],[min_land]],Granger_Inventory[[#This Row],[min_land]],ROUND(Granger_Inventory[[#This Row],[adj_land]]*Lookups!$I$45,-2))</f>
        <v>65800</v>
      </c>
      <c r="BZ45">
        <f>ROUND(Granger_Inventory[[#This Row],[detatched_value]]*Lookups!$I$45,-2)</f>
        <v>21800</v>
      </c>
      <c r="CA45">
        <f>IF(ROUND(Granger_Inventory[[#This Row],[adj_res]]*Lookups!$I$45,-2)&lt;Granger_Inventory[[#This Row],[min_res]],Granger_Inventory[[#This Row],[min_res]],ROUND(Granger_Inventory[[#This Row],[adj_res]]*Lookups!$I$45,-2))</f>
        <v>164500</v>
      </c>
      <c r="CB45">
        <f>Granger_Inventory[[#This Row],[final_det]]+Granger_Inventory[[#This Row],[final_res]]</f>
        <v>186300</v>
      </c>
      <c r="CC45">
        <f>Granger_Inventory[[#This Row],[final_land]]+Granger_Inventory[[#This Row],[final_imp]]+Granger_Inventory[[#This Row],[crop_value]]</f>
        <v>252100</v>
      </c>
      <c r="CE45" t="str">
        <f t="shared" si="0"/>
        <v>update valuation set market_land =65800, market_bldg=186300, market_total =252100, market_mdno =402, market_date ='9/10/2023' where link_id = (select link_id from parcel where parcel_year = '2024' and parcel_id = '21101532401');</v>
      </c>
    </row>
    <row r="46" spans="1:83" x14ac:dyDescent="0.25">
      <c r="A46">
        <v>21101532405</v>
      </c>
      <c r="B46">
        <v>0.97</v>
      </c>
      <c r="C46">
        <v>42304</v>
      </c>
      <c r="D46" t="s">
        <v>137</v>
      </c>
      <c r="E46" t="s">
        <v>54</v>
      </c>
      <c r="F46" t="s">
        <v>54</v>
      </c>
      <c r="G46">
        <v>3</v>
      </c>
      <c r="H46" t="s">
        <v>55</v>
      </c>
      <c r="I46">
        <v>70500</v>
      </c>
      <c r="J46">
        <v>35000</v>
      </c>
      <c r="K46">
        <v>0.97</v>
      </c>
      <c r="L46">
        <f>IF(Granger_Inventory[[#This Row],[parcel_acres]]-Granger_Inventory[[#This Row],[non_valued_acres]] =0,0,LN(Granger_Inventory[[#This Row],[parcel_acres]]-Granger_Inventory[[#This Row],[non_valued_acres]]))</f>
        <v>-3.0459207484708574E-2</v>
      </c>
      <c r="M46">
        <v>0</v>
      </c>
      <c r="N46">
        <v>0</v>
      </c>
      <c r="O46">
        <v>0</v>
      </c>
      <c r="P46">
        <v>47108.068500000001</v>
      </c>
      <c r="Q46">
        <v>122298</v>
      </c>
      <c r="R46">
        <f>(Granger_Inventory[[#This Row],[ln_acres]]*Granger_Inventory[[#This Row],[coeff]])+Granger_Inventory[[#This Row],[const]]</f>
        <v>120863.12556735464</v>
      </c>
      <c r="S46" t="s">
        <v>69</v>
      </c>
      <c r="T46">
        <v>1</v>
      </c>
      <c r="U46" t="s">
        <v>78</v>
      </c>
      <c r="V46" t="s">
        <v>79</v>
      </c>
      <c r="W46">
        <v>0</v>
      </c>
      <c r="X46">
        <v>0</v>
      </c>
      <c r="Y46">
        <v>66</v>
      </c>
      <c r="Z46">
        <v>114</v>
      </c>
      <c r="AA46">
        <v>120</v>
      </c>
      <c r="AB46">
        <v>1500</v>
      </c>
      <c r="AC46">
        <v>1126</v>
      </c>
      <c r="AD46">
        <v>1126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48</v>
      </c>
      <c r="AO46">
        <v>0</v>
      </c>
      <c r="AP46">
        <v>5</v>
      </c>
      <c r="AQ46">
        <v>1</v>
      </c>
      <c r="AR46">
        <v>0</v>
      </c>
      <c r="AS46" t="s">
        <v>59</v>
      </c>
      <c r="AT46">
        <v>1</v>
      </c>
      <c r="AU46" t="s">
        <v>68</v>
      </c>
      <c r="AV46" t="s">
        <v>65</v>
      </c>
      <c r="AW46">
        <v>0</v>
      </c>
      <c r="AX46">
        <v>3</v>
      </c>
      <c r="AY46">
        <v>0</v>
      </c>
      <c r="AZ46">
        <v>0</v>
      </c>
      <c r="BA46">
        <v>100</v>
      </c>
      <c r="BB46">
        <v>100</v>
      </c>
      <c r="BC46">
        <v>100</v>
      </c>
      <c r="BD46">
        <v>100</v>
      </c>
      <c r="BE46">
        <v>1</v>
      </c>
      <c r="BF46">
        <v>15000</v>
      </c>
      <c r="BG46">
        <v>1000</v>
      </c>
      <c r="BH46" s="8">
        <f>Granger_Inventory[[#This Row],[land_extract]]*Lookups!$B$3</f>
        <v>72001.886484740637</v>
      </c>
      <c r="BI46" s="8">
        <f>IF(Granger_Inventory[[#This Row],[bldg_style]]="",0,Lookups!$B$2)</f>
        <v>29703.559000000001</v>
      </c>
      <c r="BJ46" s="8">
        <f>_xlfn.IFNA(VLOOKUP(Granger_Inventory[[#This Row],[quality]],Lookups!$H$2:$J$14,3,FALSE),0)</f>
        <v>23737.786340274597</v>
      </c>
      <c r="BK46" s="8">
        <f>_xlfn.IFNA(VLOOKUP(Granger_Inventory[[#This Row],[condition]],Lookups!$H$17:$J$24,3,FALSE),0)</f>
        <v>86727</v>
      </c>
      <c r="BL46" s="8">
        <f>Granger_Inventory[[#This Row],[Age]]*Lookups!$B$16</f>
        <v>-23635.7454</v>
      </c>
      <c r="BM46" s="8">
        <f>Granger_Inventory[[#This Row],[living_area]]*Lookups!$B$17</f>
        <v>75749.295534000004</v>
      </c>
      <c r="BN46" s="8">
        <f>(Granger_Inventory[[#This Row],[att_gar]]+Granger_Inventory[[#This Row],[blt_gar]])*Lookups!$B$18</f>
        <v>0</v>
      </c>
      <c r="BO46" s="8">
        <f>Granger_Inventory[[#This Row],[Patio]]*Lookups!$B$19</f>
        <v>0</v>
      </c>
      <c r="BP46" s="8">
        <f>SUM(Granger_Inventory[[#This Row],[Intercept]:[Patio_Value]])*Granger_Inventory[[#This Row],[res_pct]]</f>
        <v>192281.89547427458</v>
      </c>
      <c r="BQ46" s="8">
        <f>Granger_Inventory[[#This Row],[land_value]]</f>
        <v>72001.886484740637</v>
      </c>
      <c r="BR46" s="4">
        <f>_xlfn.IFNA(VLOOKUP(Granger_Inventory[[#This Row],[quality]],Lookups!$A$25:$C$35,3,FALSE),1)</f>
        <v>0.77695375541795109</v>
      </c>
      <c r="BS46" s="4">
        <f>_xlfn.IFNA(VLOOKUP(Granger_Inventory[[#This Row],[condition]],Lookups!$A$38:$C$45,3,FALSE),1)</f>
        <v>0.85322907131620684</v>
      </c>
      <c r="BT46" s="4">
        <f>IF(Granger_Inventory[[#This Row],[decade]]="",1,_xlfn.IFNA(VLOOKUP(Granger_Inventory[[#This Row],[decade]],Lookups!$G$28:$I$42,3,FALSE),1))</f>
        <v>0.879441629375324</v>
      </c>
      <c r="BU46" s="4">
        <f>_xlfn.IFNA(VLOOKUP(Granger_Inventory[[#This Row],[living_area_range]],Lookups!$A$48:$C$57,3,FALSE),1)</f>
        <v>0.97960506760539345</v>
      </c>
      <c r="BV46" s="4">
        <f>AVERAGE(Granger_Inventory[[#This Row],[qual_adj]:[living_range_adj]])</f>
        <v>0.87230738092871896</v>
      </c>
      <c r="BW46" s="8">
        <f>(Granger_Inventory[[#This Row],[sum_land]]-IF(Granger_Inventory[[#This Row],[no_utilities]]=1,12000,0))/IF(Granger_Inventory[[#This Row],[unbuildable]]=1,2,1)</f>
        <v>72001.886484740637</v>
      </c>
      <c r="BX46" s="8">
        <f>Granger_Inventory[[#This Row],[pre_res]]*Granger_Inventory[[#This Row],[overall_adj]]</f>
        <v>167728.91664117418</v>
      </c>
      <c r="BY46">
        <f>IF(ROUND(Granger_Inventory[[#This Row],[adj_land]]*Lookups!$I$45,-2)&lt;Granger_Inventory[[#This Row],[min_land]],Granger_Inventory[[#This Row],[min_land]],ROUND(Granger_Inventory[[#This Row],[adj_land]]*Lookups!$I$45,-2))</f>
        <v>68400</v>
      </c>
      <c r="BZ46">
        <f>ROUND(Granger_Inventory[[#This Row],[detatched_value]]*Lookups!$I$45,-2)</f>
        <v>0</v>
      </c>
      <c r="CA46">
        <f>IF(ROUND(Granger_Inventory[[#This Row],[adj_res]]*Lookups!$I$45,-2)&lt;Granger_Inventory[[#This Row],[min_res]],Granger_Inventory[[#This Row],[min_res]],ROUND(Granger_Inventory[[#This Row],[adj_res]]*Lookups!$I$45,-2))</f>
        <v>159300</v>
      </c>
      <c r="CB46">
        <f>Granger_Inventory[[#This Row],[final_det]]+Granger_Inventory[[#This Row],[final_res]]</f>
        <v>159300</v>
      </c>
      <c r="CC46">
        <f>Granger_Inventory[[#This Row],[final_land]]+Granger_Inventory[[#This Row],[final_imp]]+Granger_Inventory[[#This Row],[crop_value]]</f>
        <v>227700</v>
      </c>
      <c r="CE46" t="str">
        <f t="shared" si="0"/>
        <v>update valuation set market_land =68400, market_bldg=159300, market_total =227700, market_mdno =402, market_date ='9/10/2023' where link_id = (select link_id from parcel where parcel_year = '2024' and parcel_id = '21101532405');</v>
      </c>
    </row>
    <row r="47" spans="1:83" x14ac:dyDescent="0.25">
      <c r="A47">
        <v>21101533006</v>
      </c>
      <c r="B47">
        <v>0.23</v>
      </c>
      <c r="C47">
        <v>10209</v>
      </c>
      <c r="D47" t="s">
        <v>137</v>
      </c>
      <c r="E47" t="s">
        <v>54</v>
      </c>
      <c r="F47" t="s">
        <v>54</v>
      </c>
      <c r="G47">
        <v>3</v>
      </c>
      <c r="H47" t="s">
        <v>55</v>
      </c>
      <c r="I47">
        <v>112200</v>
      </c>
      <c r="J47">
        <v>27000</v>
      </c>
      <c r="K47">
        <v>0.23</v>
      </c>
      <c r="L47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47">
        <v>0</v>
      </c>
      <c r="N47">
        <v>0</v>
      </c>
      <c r="O47">
        <v>0</v>
      </c>
      <c r="P47">
        <v>47108.068500000001</v>
      </c>
      <c r="Q47">
        <v>122298</v>
      </c>
      <c r="R47">
        <f>(Granger_Inventory[[#This Row],[ln_acres]]*Granger_Inventory[[#This Row],[coeff]])+Granger_Inventory[[#This Row],[const]]</f>
        <v>53064.403729659418</v>
      </c>
      <c r="S47" t="s">
        <v>69</v>
      </c>
      <c r="T47">
        <v>1</v>
      </c>
      <c r="U47" t="s">
        <v>78</v>
      </c>
      <c r="V47" t="s">
        <v>72</v>
      </c>
      <c r="W47">
        <v>0</v>
      </c>
      <c r="X47">
        <v>0</v>
      </c>
      <c r="Y47">
        <v>51</v>
      </c>
      <c r="Z47">
        <v>83</v>
      </c>
      <c r="AA47">
        <v>90</v>
      </c>
      <c r="AB47">
        <v>1000</v>
      </c>
      <c r="AC47">
        <v>820</v>
      </c>
      <c r="AD47">
        <v>820</v>
      </c>
      <c r="AE47">
        <v>0</v>
      </c>
      <c r="AF47">
        <v>0</v>
      </c>
      <c r="AG47">
        <v>0</v>
      </c>
      <c r="AH47">
        <v>676</v>
      </c>
      <c r="AI47">
        <v>0</v>
      </c>
      <c r="AJ47">
        <v>0</v>
      </c>
      <c r="AK47">
        <v>0</v>
      </c>
      <c r="AL47">
        <v>0</v>
      </c>
      <c r="AM47">
        <v>330</v>
      </c>
      <c r="AN47">
        <v>168</v>
      </c>
      <c r="AO47">
        <v>0</v>
      </c>
      <c r="AP47">
        <v>5</v>
      </c>
      <c r="AQ47">
        <v>0</v>
      </c>
      <c r="AR47">
        <v>0</v>
      </c>
      <c r="AS47" t="s">
        <v>59</v>
      </c>
      <c r="AT47">
        <v>0</v>
      </c>
      <c r="AU47" t="s">
        <v>83</v>
      </c>
      <c r="AV47" t="s">
        <v>145</v>
      </c>
      <c r="AW47">
        <v>0</v>
      </c>
      <c r="AX47">
        <v>3</v>
      </c>
      <c r="AY47">
        <v>0</v>
      </c>
      <c r="AZ47">
        <v>0</v>
      </c>
      <c r="BA47">
        <v>100</v>
      </c>
      <c r="BB47">
        <v>100</v>
      </c>
      <c r="BC47">
        <v>100</v>
      </c>
      <c r="BD47">
        <v>100</v>
      </c>
      <c r="BE47">
        <v>1</v>
      </c>
      <c r="BF47">
        <v>15000</v>
      </c>
      <c r="BG47">
        <v>1000</v>
      </c>
      <c r="BH47" s="8">
        <f>Granger_Inventory[[#This Row],[land_extract]]*Lookups!$B$3</f>
        <v>31612.09968539299</v>
      </c>
      <c r="BI47" s="8">
        <f>IF(Granger_Inventory[[#This Row],[bldg_style]]="",0,Lookups!$B$2)</f>
        <v>29703.559000000001</v>
      </c>
      <c r="BJ47" s="8">
        <f>_xlfn.IFNA(VLOOKUP(Granger_Inventory[[#This Row],[quality]],Lookups!$H$2:$J$14,3,FALSE),0)</f>
        <v>23737.786340274597</v>
      </c>
      <c r="BK47" s="8">
        <f>_xlfn.IFNA(VLOOKUP(Granger_Inventory[[#This Row],[condition]],Lookups!$H$17:$J$24,3,FALSE),0)</f>
        <v>94106</v>
      </c>
      <c r="BL47" s="8">
        <f>Granger_Inventory[[#This Row],[Age]]*Lookups!$B$16</f>
        <v>-17208.481299999999</v>
      </c>
      <c r="BM47" s="8">
        <f>Granger_Inventory[[#This Row],[living_area]]*Lookups!$B$17</f>
        <v>55163.785380000001</v>
      </c>
      <c r="BN47" s="8">
        <f>(Granger_Inventory[[#This Row],[att_gar]]+Granger_Inventory[[#This Row],[blt_gar]])*Lookups!$B$18</f>
        <v>0</v>
      </c>
      <c r="BO47" s="8">
        <f>Granger_Inventory[[#This Row],[Patio]]*Lookups!$B$19</f>
        <v>17923.981680000001</v>
      </c>
      <c r="BP47" s="8">
        <f>SUM(Granger_Inventory[[#This Row],[Intercept]:[Patio_Value]])*Granger_Inventory[[#This Row],[res_pct]]</f>
        <v>203426.63110027459</v>
      </c>
      <c r="BQ47" s="8">
        <f>Granger_Inventory[[#This Row],[land_value]]</f>
        <v>31612.09968539299</v>
      </c>
      <c r="BR47" s="4">
        <f>_xlfn.IFNA(VLOOKUP(Granger_Inventory[[#This Row],[quality]],Lookups!$A$25:$C$35,3,FALSE),1)</f>
        <v>0.77695375541795109</v>
      </c>
      <c r="BS47" s="4">
        <f>_xlfn.IFNA(VLOOKUP(Granger_Inventory[[#This Row],[condition]],Lookups!$A$38:$C$45,3,FALSE),1)</f>
        <v>0.98658583151544277</v>
      </c>
      <c r="BT47" s="4">
        <f>IF(Granger_Inventory[[#This Row],[decade]]="",1,_xlfn.IFNA(VLOOKUP(Granger_Inventory[[#This Row],[decade]],Lookups!$G$28:$I$42,3,FALSE),1))</f>
        <v>0.95234610137492615</v>
      </c>
      <c r="BU47" s="4">
        <f>_xlfn.IFNA(VLOOKUP(Granger_Inventory[[#This Row],[living_area_range]],Lookups!$A$48:$C$57,3,FALSE),1)</f>
        <v>0.81272404900450645</v>
      </c>
      <c r="BV47" s="4">
        <f>AVERAGE(Granger_Inventory[[#This Row],[qual_adj]:[living_range_adj]])</f>
        <v>0.88215243432820656</v>
      </c>
      <c r="BW47" s="8">
        <f>(Granger_Inventory[[#This Row],[sum_land]]-IF(Granger_Inventory[[#This Row],[no_utilities]]=1,12000,0))/IF(Granger_Inventory[[#This Row],[unbuildable]]=1,2,1)</f>
        <v>31612.09968539299</v>
      </c>
      <c r="BX47" s="8">
        <f>Granger_Inventory[[#This Row],[pre_res]]*Granger_Inventory[[#This Row],[overall_adj]]</f>
        <v>179453.29783229329</v>
      </c>
      <c r="BY47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47">
        <f>ROUND(Granger_Inventory[[#This Row],[detatched_value]]*Lookups!$I$45,-2)</f>
        <v>0</v>
      </c>
      <c r="CA47">
        <f>IF(ROUND(Granger_Inventory[[#This Row],[adj_res]]*Lookups!$I$45,-2)&lt;Granger_Inventory[[#This Row],[min_res]],Granger_Inventory[[#This Row],[min_res]],ROUND(Granger_Inventory[[#This Row],[adj_res]]*Lookups!$I$45,-2))</f>
        <v>170500</v>
      </c>
      <c r="CB47">
        <f>Granger_Inventory[[#This Row],[final_det]]+Granger_Inventory[[#This Row],[final_res]]</f>
        <v>170500</v>
      </c>
      <c r="CC47">
        <f>Granger_Inventory[[#This Row],[final_land]]+Granger_Inventory[[#This Row],[final_imp]]+Granger_Inventory[[#This Row],[crop_value]]</f>
        <v>200500</v>
      </c>
      <c r="CE47" t="str">
        <f t="shared" si="0"/>
        <v>update valuation set market_land =30000, market_bldg=170500, market_total =200500, market_mdno =402, market_date ='9/10/2023' where link_id = (select link_id from parcel where parcel_year = '2024' and parcel_id = '21101533006');</v>
      </c>
    </row>
    <row r="48" spans="1:83" x14ac:dyDescent="0.25">
      <c r="A48">
        <v>21101533007</v>
      </c>
      <c r="B48">
        <v>0.23</v>
      </c>
      <c r="C48">
        <v>9877</v>
      </c>
      <c r="D48" t="s">
        <v>137</v>
      </c>
      <c r="E48" t="s">
        <v>54</v>
      </c>
      <c r="F48" t="s">
        <v>54</v>
      </c>
      <c r="G48">
        <v>3</v>
      </c>
      <c r="H48" t="s">
        <v>55</v>
      </c>
      <c r="I48">
        <v>96100</v>
      </c>
      <c r="J48">
        <v>27000</v>
      </c>
      <c r="K48">
        <v>0.23</v>
      </c>
      <c r="L48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48">
        <v>0</v>
      </c>
      <c r="N48">
        <v>0</v>
      </c>
      <c r="O48">
        <v>0</v>
      </c>
      <c r="P48">
        <v>47108.068500000001</v>
      </c>
      <c r="Q48">
        <v>122298</v>
      </c>
      <c r="R48">
        <f>(Granger_Inventory[[#This Row],[ln_acres]]*Granger_Inventory[[#This Row],[coeff]])+Granger_Inventory[[#This Row],[const]]</f>
        <v>53064.403729659418</v>
      </c>
      <c r="S48" t="s">
        <v>69</v>
      </c>
      <c r="T48">
        <v>1</v>
      </c>
      <c r="U48" t="s">
        <v>78</v>
      </c>
      <c r="V48" t="s">
        <v>77</v>
      </c>
      <c r="W48">
        <v>0</v>
      </c>
      <c r="X48">
        <v>0</v>
      </c>
      <c r="Y48">
        <v>51</v>
      </c>
      <c r="Z48">
        <v>78</v>
      </c>
      <c r="AA48">
        <v>80</v>
      </c>
      <c r="AB48">
        <v>1500</v>
      </c>
      <c r="AC48">
        <v>1148</v>
      </c>
      <c r="AD48">
        <v>1148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144</v>
      </c>
      <c r="AM48">
        <v>24</v>
      </c>
      <c r="AN48">
        <v>0</v>
      </c>
      <c r="AO48">
        <v>0</v>
      </c>
      <c r="AP48">
        <v>5</v>
      </c>
      <c r="AQ48">
        <v>0</v>
      </c>
      <c r="AR48">
        <v>0</v>
      </c>
      <c r="AS48" t="s">
        <v>139</v>
      </c>
      <c r="AT48">
        <v>1</v>
      </c>
      <c r="AU48" t="s">
        <v>60</v>
      </c>
      <c r="AV48" t="s">
        <v>61</v>
      </c>
      <c r="AW48">
        <v>0</v>
      </c>
      <c r="AX48">
        <v>3</v>
      </c>
      <c r="AY48">
        <v>0</v>
      </c>
      <c r="AZ48">
        <v>8300</v>
      </c>
      <c r="BA48">
        <v>100</v>
      </c>
      <c r="BB48">
        <v>100</v>
      </c>
      <c r="BC48">
        <v>100</v>
      </c>
      <c r="BD48">
        <v>100</v>
      </c>
      <c r="BE48">
        <v>1</v>
      </c>
      <c r="BF48">
        <v>15000</v>
      </c>
      <c r="BG48">
        <v>1000</v>
      </c>
      <c r="BH48" s="8">
        <f>Granger_Inventory[[#This Row],[land_extract]]*Lookups!$B$3</f>
        <v>31612.09968539299</v>
      </c>
      <c r="BI48" s="8">
        <f>IF(Granger_Inventory[[#This Row],[bldg_style]]="",0,Lookups!$B$2)</f>
        <v>29703.559000000001</v>
      </c>
      <c r="BJ48" s="8">
        <f>_xlfn.IFNA(VLOOKUP(Granger_Inventory[[#This Row],[quality]],Lookups!$H$2:$J$14,3,FALSE),0)</f>
        <v>23737.786340274597</v>
      </c>
      <c r="BK48" s="8">
        <f>_xlfn.IFNA(VLOOKUP(Granger_Inventory[[#This Row],[condition]],Lookups!$H$17:$J$24,3,FALSE),0)</f>
        <v>33736</v>
      </c>
      <c r="BL48" s="8">
        <f>Granger_Inventory[[#This Row],[Age]]*Lookups!$B$16</f>
        <v>-16171.825799999999</v>
      </c>
      <c r="BM48" s="8">
        <f>Granger_Inventory[[#This Row],[living_area]]*Lookups!$B$17</f>
        <v>77229.299532000005</v>
      </c>
      <c r="BN48" s="8">
        <f>(Granger_Inventory[[#This Row],[att_gar]]+Granger_Inventory[[#This Row],[blt_gar]])*Lookups!$B$18</f>
        <v>0</v>
      </c>
      <c r="BO48" s="8">
        <f>Granger_Inventory[[#This Row],[Patio]]*Lookups!$B$19</f>
        <v>1303.562304</v>
      </c>
      <c r="BP48" s="8">
        <f>SUM(Granger_Inventory[[#This Row],[Intercept]:[Patio_Value]])*Granger_Inventory[[#This Row],[res_pct]]</f>
        <v>149538.3813762746</v>
      </c>
      <c r="BQ48" s="8">
        <f>Granger_Inventory[[#This Row],[land_value]]</f>
        <v>31612.09968539299</v>
      </c>
      <c r="BR48" s="4">
        <f>_xlfn.IFNA(VLOOKUP(Granger_Inventory[[#This Row],[quality]],Lookups!$A$25:$C$35,3,FALSE),1)</f>
        <v>0.77695375541795109</v>
      </c>
      <c r="BS48" s="4">
        <f>_xlfn.IFNA(VLOOKUP(Granger_Inventory[[#This Row],[condition]],Lookups!$A$38:$C$45,3,FALSE),1)</f>
        <v>0.92294678898076177</v>
      </c>
      <c r="BT48" s="4">
        <f>IF(Granger_Inventory[[#This Row],[decade]]="",1,_xlfn.IFNA(VLOOKUP(Granger_Inventory[[#This Row],[decade]],Lookups!$G$28:$I$42,3,FALSE),1))</f>
        <v>0.76006056002554967</v>
      </c>
      <c r="BU48" s="4">
        <f>_xlfn.IFNA(VLOOKUP(Granger_Inventory[[#This Row],[living_area_range]],Lookups!$A$48:$C$57,3,FALSE),1)</f>
        <v>0.97960506760539345</v>
      </c>
      <c r="BV48" s="4">
        <f>AVERAGE(Granger_Inventory[[#This Row],[qual_adj]:[living_range_adj]])</f>
        <v>0.85989154300741399</v>
      </c>
      <c r="BW48" s="8">
        <f>(Granger_Inventory[[#This Row],[sum_land]]-IF(Granger_Inventory[[#This Row],[no_utilities]]=1,12000,0))/IF(Granger_Inventory[[#This Row],[unbuildable]]=1,2,1)</f>
        <v>31612.09968539299</v>
      </c>
      <c r="BX48" s="8">
        <f>Granger_Inventory[[#This Row],[pre_res]]*Granger_Inventory[[#This Row],[overall_adj]]</f>
        <v>128586.7895004759</v>
      </c>
      <c r="BY48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48">
        <f>ROUND(Granger_Inventory[[#This Row],[detatched_value]]*Lookups!$I$45,-2)</f>
        <v>7900</v>
      </c>
      <c r="CA48">
        <f>IF(ROUND(Granger_Inventory[[#This Row],[adj_res]]*Lookups!$I$45,-2)&lt;Granger_Inventory[[#This Row],[min_res]],Granger_Inventory[[#This Row],[min_res]],ROUND(Granger_Inventory[[#This Row],[adj_res]]*Lookups!$I$45,-2))</f>
        <v>122200</v>
      </c>
      <c r="CB48">
        <f>Granger_Inventory[[#This Row],[final_det]]+Granger_Inventory[[#This Row],[final_res]]</f>
        <v>130100</v>
      </c>
      <c r="CC48">
        <f>Granger_Inventory[[#This Row],[final_land]]+Granger_Inventory[[#This Row],[final_imp]]+Granger_Inventory[[#This Row],[crop_value]]</f>
        <v>160100</v>
      </c>
      <c r="CE48" t="str">
        <f t="shared" si="0"/>
        <v>update valuation set market_land =30000, market_bldg=130100, market_total =160100, market_mdno =402, market_date ='9/10/2023' where link_id = (select link_id from parcel where parcel_year = '2024' and parcel_id = '21101533007');</v>
      </c>
    </row>
    <row r="49" spans="1:83" x14ac:dyDescent="0.25">
      <c r="A49">
        <v>21101533008</v>
      </c>
      <c r="B49">
        <v>0.22</v>
      </c>
      <c r="C49">
        <v>9378</v>
      </c>
      <c r="D49" t="s">
        <v>137</v>
      </c>
      <c r="E49" t="s">
        <v>54</v>
      </c>
      <c r="F49" t="s">
        <v>54</v>
      </c>
      <c r="G49">
        <v>3</v>
      </c>
      <c r="H49" t="s">
        <v>55</v>
      </c>
      <c r="I49">
        <v>173700</v>
      </c>
      <c r="J49">
        <v>26700</v>
      </c>
      <c r="K49">
        <v>0.22</v>
      </c>
      <c r="L49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9">
        <v>0</v>
      </c>
      <c r="N49">
        <v>0</v>
      </c>
      <c r="O49">
        <v>0</v>
      </c>
      <c r="P49">
        <v>47108.068500000001</v>
      </c>
      <c r="Q49">
        <v>122298</v>
      </c>
      <c r="R49">
        <f>(Granger_Inventory[[#This Row],[ln_acres]]*Granger_Inventory[[#This Row],[coeff]])+Granger_Inventory[[#This Row],[const]]</f>
        <v>50970.367053526847</v>
      </c>
      <c r="S49" t="s">
        <v>69</v>
      </c>
      <c r="T49">
        <v>1</v>
      </c>
      <c r="U49" t="s">
        <v>71</v>
      </c>
      <c r="V49" t="s">
        <v>77</v>
      </c>
      <c r="W49">
        <v>0</v>
      </c>
      <c r="X49">
        <v>0</v>
      </c>
      <c r="Y49">
        <v>50</v>
      </c>
      <c r="Z49">
        <v>73</v>
      </c>
      <c r="AA49">
        <v>80</v>
      </c>
      <c r="AB49">
        <v>2000</v>
      </c>
      <c r="AC49">
        <v>1596</v>
      </c>
      <c r="AD49">
        <v>1596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8</v>
      </c>
      <c r="AQ49">
        <v>0</v>
      </c>
      <c r="AR49">
        <v>0</v>
      </c>
      <c r="AS49" t="s">
        <v>59</v>
      </c>
      <c r="AT49">
        <v>1</v>
      </c>
      <c r="AU49" t="s">
        <v>60</v>
      </c>
      <c r="AV49" t="s">
        <v>61</v>
      </c>
      <c r="AW49">
        <v>1</v>
      </c>
      <c r="AX49">
        <v>4</v>
      </c>
      <c r="AY49">
        <v>0</v>
      </c>
      <c r="AZ49">
        <v>9300</v>
      </c>
      <c r="BA49">
        <v>100</v>
      </c>
      <c r="BB49">
        <v>100</v>
      </c>
      <c r="BC49">
        <v>100</v>
      </c>
      <c r="BD49">
        <v>100</v>
      </c>
      <c r="BE49">
        <v>1</v>
      </c>
      <c r="BF49">
        <v>15000</v>
      </c>
      <c r="BG49">
        <v>1000</v>
      </c>
      <c r="BH49" s="8">
        <f>Granger_Inventory[[#This Row],[land_extract]]*Lookups!$B$3</f>
        <v>30364.617541091193</v>
      </c>
      <c r="BI49" s="8">
        <f>IF(Granger_Inventory[[#This Row],[bldg_style]]="",0,Lookups!$B$2)</f>
        <v>29703.559000000001</v>
      </c>
      <c r="BJ49" s="8">
        <f>_xlfn.IFNA(VLOOKUP(Granger_Inventory[[#This Row],[quality]],Lookups!$H$2:$J$14,3,FALSE),0)</f>
        <v>34195</v>
      </c>
      <c r="BK49" s="8">
        <f>_xlfn.IFNA(VLOOKUP(Granger_Inventory[[#This Row],[condition]],Lookups!$H$17:$J$24,3,FALSE),0)</f>
        <v>33736</v>
      </c>
      <c r="BL49" s="8">
        <f>Granger_Inventory[[#This Row],[Age]]*Lookups!$B$16</f>
        <v>-15135.1703</v>
      </c>
      <c r="BM49" s="8">
        <f>Granger_Inventory[[#This Row],[living_area]]*Lookups!$B$17</f>
        <v>107367.562764</v>
      </c>
      <c r="BN49" s="8">
        <f>(Granger_Inventory[[#This Row],[att_gar]]+Granger_Inventory[[#This Row],[blt_gar]])*Lookups!$B$18</f>
        <v>0</v>
      </c>
      <c r="BO49" s="8">
        <f>Granger_Inventory[[#This Row],[Patio]]*Lookups!$B$19</f>
        <v>0</v>
      </c>
      <c r="BP49" s="8">
        <f>SUM(Granger_Inventory[[#This Row],[Intercept]:[Patio_Value]])*Granger_Inventory[[#This Row],[res_pct]]</f>
        <v>189866.95146400001</v>
      </c>
      <c r="BQ49" s="8">
        <f>Granger_Inventory[[#This Row],[land_value]]</f>
        <v>30364.617541091193</v>
      </c>
      <c r="BR49" s="4">
        <f>_xlfn.IFNA(VLOOKUP(Granger_Inventory[[#This Row],[quality]],Lookups!$A$25:$C$35,3,FALSE),1)</f>
        <v>0.98258795897788032</v>
      </c>
      <c r="BS49" s="4">
        <f>_xlfn.IFNA(VLOOKUP(Granger_Inventory[[#This Row],[condition]],Lookups!$A$38:$C$45,3,FALSE),1)</f>
        <v>0.92294678898076177</v>
      </c>
      <c r="BT49" s="4">
        <f>IF(Granger_Inventory[[#This Row],[decade]]="",1,_xlfn.IFNA(VLOOKUP(Granger_Inventory[[#This Row],[decade]],Lookups!$G$28:$I$42,3,FALSE),1))</f>
        <v>0.76006056002554967</v>
      </c>
      <c r="BU49" s="4">
        <f>_xlfn.IFNA(VLOOKUP(Granger_Inventory[[#This Row],[living_area_range]],Lookups!$A$48:$C$57,3,FALSE),1)</f>
        <v>0.97860968051050168</v>
      </c>
      <c r="BV49" s="4">
        <f>AVERAGE(Granger_Inventory[[#This Row],[qual_adj]:[living_range_adj]])</f>
        <v>0.91105124712367336</v>
      </c>
      <c r="BW49" s="8">
        <f>(Granger_Inventory[[#This Row],[sum_land]]-IF(Granger_Inventory[[#This Row],[no_utilities]]=1,12000,0))/IF(Granger_Inventory[[#This Row],[unbuildable]]=1,2,1)</f>
        <v>30364.617541091193</v>
      </c>
      <c r="BX49" s="8">
        <f>Granger_Inventory[[#This Row],[pre_res]]*Granger_Inventory[[#This Row],[overall_adj]]</f>
        <v>172978.52291884716</v>
      </c>
      <c r="BY49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9">
        <f>ROUND(Granger_Inventory[[#This Row],[detatched_value]]*Lookups!$I$45,-2)</f>
        <v>8800</v>
      </c>
      <c r="CA49">
        <f>IF(ROUND(Granger_Inventory[[#This Row],[adj_res]]*Lookups!$I$45,-2)&lt;Granger_Inventory[[#This Row],[min_res]],Granger_Inventory[[#This Row],[min_res]],ROUND(Granger_Inventory[[#This Row],[adj_res]]*Lookups!$I$45,-2))</f>
        <v>164300</v>
      </c>
      <c r="CB49">
        <f>Granger_Inventory[[#This Row],[final_det]]+Granger_Inventory[[#This Row],[final_res]]</f>
        <v>173100</v>
      </c>
      <c r="CC49">
        <f>Granger_Inventory[[#This Row],[final_land]]+Granger_Inventory[[#This Row],[final_imp]]+Granger_Inventory[[#This Row],[crop_value]]</f>
        <v>201900</v>
      </c>
      <c r="CE49" t="str">
        <f t="shared" si="0"/>
        <v>update valuation set market_land =28800, market_bldg=173100, market_total =201900, market_mdno =402, market_date ='9/10/2023' where link_id = (select link_id from parcel where parcel_year = '2024' and parcel_id = '21101533008');</v>
      </c>
    </row>
    <row r="50" spans="1:83" x14ac:dyDescent="0.25">
      <c r="A50">
        <v>21101533009</v>
      </c>
      <c r="B50">
        <v>0.23</v>
      </c>
      <c r="C50">
        <v>10074</v>
      </c>
      <c r="D50" t="s">
        <v>137</v>
      </c>
      <c r="E50" t="s">
        <v>54</v>
      </c>
      <c r="F50" t="s">
        <v>54</v>
      </c>
      <c r="G50">
        <v>3</v>
      </c>
      <c r="H50" t="s">
        <v>55</v>
      </c>
      <c r="I50">
        <v>114600</v>
      </c>
      <c r="J50">
        <v>27000</v>
      </c>
      <c r="K50">
        <v>0.23</v>
      </c>
      <c r="L50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50">
        <v>0</v>
      </c>
      <c r="N50">
        <v>0</v>
      </c>
      <c r="O50">
        <v>0</v>
      </c>
      <c r="P50">
        <v>47108.068500000001</v>
      </c>
      <c r="Q50">
        <v>122298</v>
      </c>
      <c r="R50">
        <f>(Granger_Inventory[[#This Row],[ln_acres]]*Granger_Inventory[[#This Row],[coeff]])+Granger_Inventory[[#This Row],[const]]</f>
        <v>53064.403729659418</v>
      </c>
      <c r="S50" t="s">
        <v>56</v>
      </c>
      <c r="T50">
        <v>1</v>
      </c>
      <c r="U50" t="s">
        <v>71</v>
      </c>
      <c r="V50" t="s">
        <v>77</v>
      </c>
      <c r="W50">
        <v>0</v>
      </c>
      <c r="X50">
        <v>0</v>
      </c>
      <c r="Y50">
        <v>44</v>
      </c>
      <c r="Z50">
        <v>49</v>
      </c>
      <c r="AA50">
        <v>50</v>
      </c>
      <c r="AB50">
        <v>1500</v>
      </c>
      <c r="AC50">
        <v>1344</v>
      </c>
      <c r="AD50">
        <v>1344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5</v>
      </c>
      <c r="AQ50">
        <v>0</v>
      </c>
      <c r="AR50">
        <v>0</v>
      </c>
      <c r="AS50" t="s">
        <v>59</v>
      </c>
      <c r="AT50">
        <v>1</v>
      </c>
      <c r="AU50" t="s">
        <v>76</v>
      </c>
      <c r="AV50" t="s">
        <v>65</v>
      </c>
      <c r="AW50">
        <v>0</v>
      </c>
      <c r="AX50">
        <v>3</v>
      </c>
      <c r="AY50">
        <v>0</v>
      </c>
      <c r="AZ50">
        <v>0</v>
      </c>
      <c r="BA50">
        <v>100</v>
      </c>
      <c r="BB50">
        <v>100</v>
      </c>
      <c r="BC50">
        <v>100</v>
      </c>
      <c r="BD50">
        <v>100</v>
      </c>
      <c r="BE50">
        <v>1</v>
      </c>
      <c r="BF50">
        <v>15000</v>
      </c>
      <c r="BG50">
        <v>1000</v>
      </c>
      <c r="BH50" s="8">
        <f>Granger_Inventory[[#This Row],[land_extract]]*Lookups!$B$3</f>
        <v>31612.09968539299</v>
      </c>
      <c r="BI50" s="8">
        <f>IF(Granger_Inventory[[#This Row],[bldg_style]]="",0,Lookups!$B$2)</f>
        <v>29703.559000000001</v>
      </c>
      <c r="BJ50" s="8">
        <f>_xlfn.IFNA(VLOOKUP(Granger_Inventory[[#This Row],[quality]],Lookups!$H$2:$J$14,3,FALSE),0)</f>
        <v>34195</v>
      </c>
      <c r="BK50" s="8">
        <f>_xlfn.IFNA(VLOOKUP(Granger_Inventory[[#This Row],[condition]],Lookups!$H$17:$J$24,3,FALSE),0)</f>
        <v>33736</v>
      </c>
      <c r="BL50" s="8">
        <f>Granger_Inventory[[#This Row],[Age]]*Lookups!$B$16</f>
        <v>-10159.223899999999</v>
      </c>
      <c r="BM50" s="8">
        <f>Granger_Inventory[[#This Row],[living_area]]*Lookups!$B$17</f>
        <v>90414.789695999993</v>
      </c>
      <c r="BN50" s="8">
        <f>(Granger_Inventory[[#This Row],[att_gar]]+Granger_Inventory[[#This Row],[blt_gar]])*Lookups!$B$18</f>
        <v>0</v>
      </c>
      <c r="BO50" s="8">
        <f>Granger_Inventory[[#This Row],[Patio]]*Lookups!$B$19</f>
        <v>0</v>
      </c>
      <c r="BP50" s="8">
        <f>SUM(Granger_Inventory[[#This Row],[Intercept]:[Patio_Value]])*Granger_Inventory[[#This Row],[res_pct]]</f>
        <v>177890.12479600002</v>
      </c>
      <c r="BQ50" s="8">
        <f>Granger_Inventory[[#This Row],[land_value]]</f>
        <v>31612.09968539299</v>
      </c>
      <c r="BR50" s="4">
        <f>_xlfn.IFNA(VLOOKUP(Granger_Inventory[[#This Row],[quality]],Lookups!$A$25:$C$35,3,FALSE),1)</f>
        <v>0.98258795897788032</v>
      </c>
      <c r="BS50" s="4">
        <f>_xlfn.IFNA(VLOOKUP(Granger_Inventory[[#This Row],[condition]],Lookups!$A$38:$C$45,3,FALSE),1)</f>
        <v>0.92294678898076177</v>
      </c>
      <c r="BT50" s="4">
        <f>IF(Granger_Inventory[[#This Row],[decade]]="",1,_xlfn.IFNA(VLOOKUP(Granger_Inventory[[#This Row],[decade]],Lookups!$G$28:$I$42,3,FALSE),1))</f>
        <v>1.2441094871772171</v>
      </c>
      <c r="BU50" s="4">
        <f>_xlfn.IFNA(VLOOKUP(Granger_Inventory[[#This Row],[living_area_range]],Lookups!$A$48:$C$57,3,FALSE),1)</f>
        <v>0.97960506760539345</v>
      </c>
      <c r="BV50" s="4">
        <f>AVERAGE(Granger_Inventory[[#This Row],[qual_adj]:[living_range_adj]])</f>
        <v>1.0323123256853131</v>
      </c>
      <c r="BW50" s="8">
        <f>(Granger_Inventory[[#This Row],[sum_land]]-IF(Granger_Inventory[[#This Row],[no_utilities]]=1,12000,0))/IF(Granger_Inventory[[#This Row],[unbuildable]]=1,2,1)</f>
        <v>31612.09968539299</v>
      </c>
      <c r="BX50" s="8">
        <f>Granger_Inventory[[#This Row],[pre_res]]*Granger_Inventory[[#This Row],[overall_adj]]</f>
        <v>183638.16844460936</v>
      </c>
      <c r="BY50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50">
        <f>ROUND(Granger_Inventory[[#This Row],[detatched_value]]*Lookups!$I$45,-2)</f>
        <v>0</v>
      </c>
      <c r="CA50">
        <f>IF(ROUND(Granger_Inventory[[#This Row],[adj_res]]*Lookups!$I$45,-2)&lt;Granger_Inventory[[#This Row],[min_res]],Granger_Inventory[[#This Row],[min_res]],ROUND(Granger_Inventory[[#This Row],[adj_res]]*Lookups!$I$45,-2))</f>
        <v>174500</v>
      </c>
      <c r="CB50">
        <f>Granger_Inventory[[#This Row],[final_det]]+Granger_Inventory[[#This Row],[final_res]]</f>
        <v>174500</v>
      </c>
      <c r="CC50">
        <f>Granger_Inventory[[#This Row],[final_land]]+Granger_Inventory[[#This Row],[final_imp]]+Granger_Inventory[[#This Row],[crop_value]]</f>
        <v>204500</v>
      </c>
      <c r="CE50" t="str">
        <f t="shared" si="0"/>
        <v>update valuation set market_land =30000, market_bldg=174500, market_total =204500, market_mdno =402, market_date ='9/10/2023' where link_id = (select link_id from parcel where parcel_year = '2024' and parcel_id = '21101533009');</v>
      </c>
    </row>
    <row r="51" spans="1:83" x14ac:dyDescent="0.25">
      <c r="A51">
        <v>21101533010</v>
      </c>
      <c r="B51">
        <v>0.22</v>
      </c>
      <c r="C51">
        <v>9720</v>
      </c>
      <c r="D51" t="s">
        <v>137</v>
      </c>
      <c r="E51" t="s">
        <v>54</v>
      </c>
      <c r="F51" t="s">
        <v>54</v>
      </c>
      <c r="G51">
        <v>3</v>
      </c>
      <c r="H51" t="s">
        <v>55</v>
      </c>
      <c r="I51">
        <v>167600</v>
      </c>
      <c r="J51">
        <v>26700</v>
      </c>
      <c r="K51">
        <v>0.22</v>
      </c>
      <c r="L51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51">
        <v>0</v>
      </c>
      <c r="N51">
        <v>0</v>
      </c>
      <c r="O51">
        <v>0</v>
      </c>
      <c r="P51">
        <v>47108.068500000001</v>
      </c>
      <c r="Q51">
        <v>122298</v>
      </c>
      <c r="R51">
        <f>(Granger_Inventory[[#This Row],[ln_acres]]*Granger_Inventory[[#This Row],[coeff]])+Granger_Inventory[[#This Row],[const]]</f>
        <v>50970.367053526847</v>
      </c>
      <c r="S51" t="s">
        <v>80</v>
      </c>
      <c r="T51">
        <v>2</v>
      </c>
      <c r="U51" t="s">
        <v>64</v>
      </c>
      <c r="V51" t="s">
        <v>77</v>
      </c>
      <c r="W51">
        <v>0</v>
      </c>
      <c r="X51">
        <v>0</v>
      </c>
      <c r="Y51">
        <v>51</v>
      </c>
      <c r="Z51">
        <v>78</v>
      </c>
      <c r="AA51">
        <v>80</v>
      </c>
      <c r="AB51">
        <v>2000</v>
      </c>
      <c r="AC51">
        <v>1552</v>
      </c>
      <c r="AD51">
        <v>1232</v>
      </c>
      <c r="AE51">
        <v>320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260</v>
      </c>
      <c r="AN51">
        <v>0</v>
      </c>
      <c r="AO51">
        <v>260</v>
      </c>
      <c r="AP51">
        <v>8</v>
      </c>
      <c r="AQ51">
        <v>0</v>
      </c>
      <c r="AR51">
        <v>0</v>
      </c>
      <c r="AS51" t="s">
        <v>81</v>
      </c>
      <c r="AT51">
        <v>1</v>
      </c>
      <c r="AU51" t="s">
        <v>60</v>
      </c>
      <c r="AV51" t="s">
        <v>65</v>
      </c>
      <c r="AW51">
        <v>0</v>
      </c>
      <c r="AX51">
        <v>4</v>
      </c>
      <c r="AY51">
        <v>0</v>
      </c>
      <c r="AZ51">
        <v>3600</v>
      </c>
      <c r="BA51">
        <v>100</v>
      </c>
      <c r="BB51">
        <v>100</v>
      </c>
      <c r="BC51">
        <v>100</v>
      </c>
      <c r="BD51">
        <v>100</v>
      </c>
      <c r="BE51">
        <v>1</v>
      </c>
      <c r="BF51">
        <v>15000</v>
      </c>
      <c r="BG51">
        <v>1000</v>
      </c>
      <c r="BH51" s="8">
        <f>Granger_Inventory[[#This Row],[land_extract]]*Lookups!$B$3</f>
        <v>30364.617541091193</v>
      </c>
      <c r="BI51" s="8">
        <f>IF(Granger_Inventory[[#This Row],[bldg_style]]="",0,Lookups!$B$2)</f>
        <v>29703.559000000001</v>
      </c>
      <c r="BJ51" s="8">
        <f>_xlfn.IFNA(VLOOKUP(Granger_Inventory[[#This Row],[quality]],Lookups!$H$2:$J$14,3,FALSE),0)</f>
        <v>36568</v>
      </c>
      <c r="BK51" s="8">
        <f>_xlfn.IFNA(VLOOKUP(Granger_Inventory[[#This Row],[condition]],Lookups!$H$17:$J$24,3,FALSE),0)</f>
        <v>33736</v>
      </c>
      <c r="BL51" s="8">
        <f>Granger_Inventory[[#This Row],[Age]]*Lookups!$B$16</f>
        <v>-16171.825799999999</v>
      </c>
      <c r="BM51" s="8">
        <f>Granger_Inventory[[#This Row],[living_area]]*Lookups!$B$17</f>
        <v>104407.554768</v>
      </c>
      <c r="BN51" s="8">
        <f>(Granger_Inventory[[#This Row],[att_gar]]+Granger_Inventory[[#This Row],[blt_gar]])*Lookups!$B$18</f>
        <v>0</v>
      </c>
      <c r="BO51" s="8">
        <f>Granger_Inventory[[#This Row],[Patio]]*Lookups!$B$19</f>
        <v>14121.924959999998</v>
      </c>
      <c r="BP51" s="8">
        <f>SUM(Granger_Inventory[[#This Row],[Intercept]:[Patio_Value]])*Granger_Inventory[[#This Row],[res_pct]]</f>
        <v>202365.21292800002</v>
      </c>
      <c r="BQ51" s="8">
        <f>Granger_Inventory[[#This Row],[land_value]]</f>
        <v>30364.617541091193</v>
      </c>
      <c r="BR51" s="4">
        <f>_xlfn.IFNA(VLOOKUP(Granger_Inventory[[#This Row],[quality]],Lookups!$A$25:$C$35,3,FALSE),1)</f>
        <v>0.99049976351917957</v>
      </c>
      <c r="BS51" s="4">
        <f>_xlfn.IFNA(VLOOKUP(Granger_Inventory[[#This Row],[condition]],Lookups!$A$38:$C$45,3,FALSE),1)</f>
        <v>0.92294678898076177</v>
      </c>
      <c r="BT51" s="4">
        <f>IF(Granger_Inventory[[#This Row],[decade]]="",1,_xlfn.IFNA(VLOOKUP(Granger_Inventory[[#This Row],[decade]],Lookups!$G$28:$I$42,3,FALSE),1))</f>
        <v>0.76006056002554967</v>
      </c>
      <c r="BU51" s="4">
        <f>_xlfn.IFNA(VLOOKUP(Granger_Inventory[[#This Row],[living_area_range]],Lookups!$A$48:$C$57,3,FALSE),1)</f>
        <v>0.97860968051050168</v>
      </c>
      <c r="BV51" s="4">
        <f>AVERAGE(Granger_Inventory[[#This Row],[qual_adj]:[living_range_adj]])</f>
        <v>0.9130291982589982</v>
      </c>
      <c r="BW51" s="8">
        <f>(Granger_Inventory[[#This Row],[sum_land]]-IF(Granger_Inventory[[#This Row],[no_utilities]]=1,12000,0))/IF(Granger_Inventory[[#This Row],[unbuildable]]=1,2,1)</f>
        <v>30364.617541091193</v>
      </c>
      <c r="BX51" s="8">
        <f>Granger_Inventory[[#This Row],[pre_res]]*Granger_Inventory[[#This Row],[overall_adj]]</f>
        <v>184765.34811516333</v>
      </c>
      <c r="BY51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51">
        <f>ROUND(Granger_Inventory[[#This Row],[detatched_value]]*Lookups!$I$45,-2)</f>
        <v>3400</v>
      </c>
      <c r="CA51">
        <f>IF(ROUND(Granger_Inventory[[#This Row],[adj_res]]*Lookups!$I$45,-2)&lt;Granger_Inventory[[#This Row],[min_res]],Granger_Inventory[[#This Row],[min_res]],ROUND(Granger_Inventory[[#This Row],[adj_res]]*Lookups!$I$45,-2))</f>
        <v>175500</v>
      </c>
      <c r="CB51">
        <f>Granger_Inventory[[#This Row],[final_det]]+Granger_Inventory[[#This Row],[final_res]]</f>
        <v>178900</v>
      </c>
      <c r="CC51">
        <f>Granger_Inventory[[#This Row],[final_land]]+Granger_Inventory[[#This Row],[final_imp]]+Granger_Inventory[[#This Row],[crop_value]]</f>
        <v>207700</v>
      </c>
      <c r="CE51" t="str">
        <f t="shared" si="0"/>
        <v>update valuation set market_land =28800, market_bldg=178900, market_total =207700, market_mdno =402, market_date ='9/10/2023' where link_id = (select link_id from parcel where parcel_year = '2024' and parcel_id = '21101533010');</v>
      </c>
    </row>
    <row r="52" spans="1:83" x14ac:dyDescent="0.25">
      <c r="A52">
        <v>21101533014</v>
      </c>
      <c r="B52">
        <v>0.3</v>
      </c>
      <c r="C52">
        <v>12926</v>
      </c>
      <c r="D52" t="s">
        <v>137</v>
      </c>
      <c r="E52" t="s">
        <v>54</v>
      </c>
      <c r="F52" t="s">
        <v>54</v>
      </c>
      <c r="G52">
        <v>3</v>
      </c>
      <c r="H52" t="s">
        <v>55</v>
      </c>
      <c r="I52">
        <v>160800</v>
      </c>
      <c r="J52">
        <v>28500</v>
      </c>
      <c r="K52">
        <v>0.3</v>
      </c>
      <c r="L52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52">
        <v>0</v>
      </c>
      <c r="N52">
        <v>0</v>
      </c>
      <c r="O52">
        <v>0</v>
      </c>
      <c r="P52">
        <v>47108.068500000001</v>
      </c>
      <c r="Q52">
        <v>122298</v>
      </c>
      <c r="R52">
        <f>(Granger_Inventory[[#This Row],[ln_acres]]*Granger_Inventory[[#This Row],[coeff]])+Granger_Inventory[[#This Row],[const]]</f>
        <v>65581.166661676703</v>
      </c>
      <c r="S52" t="s">
        <v>56</v>
      </c>
      <c r="T52">
        <v>1</v>
      </c>
      <c r="U52" t="s">
        <v>71</v>
      </c>
      <c r="V52" t="s">
        <v>72</v>
      </c>
      <c r="W52">
        <v>0</v>
      </c>
      <c r="X52">
        <v>0</v>
      </c>
      <c r="Y52">
        <v>44</v>
      </c>
      <c r="Z52">
        <v>48</v>
      </c>
      <c r="AA52">
        <v>50</v>
      </c>
      <c r="AB52">
        <v>1500</v>
      </c>
      <c r="AC52">
        <v>1344</v>
      </c>
      <c r="AD52">
        <v>1344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336</v>
      </c>
      <c r="AN52">
        <v>48</v>
      </c>
      <c r="AO52">
        <v>336</v>
      </c>
      <c r="AP52">
        <v>5</v>
      </c>
      <c r="AQ52">
        <v>0</v>
      </c>
      <c r="AR52">
        <v>0</v>
      </c>
      <c r="AS52" t="s">
        <v>59</v>
      </c>
      <c r="AT52">
        <v>1</v>
      </c>
      <c r="AU52" t="s">
        <v>76</v>
      </c>
      <c r="AV52" t="s">
        <v>65</v>
      </c>
      <c r="AW52">
        <v>0</v>
      </c>
      <c r="AX52">
        <v>3</v>
      </c>
      <c r="AY52">
        <v>0</v>
      </c>
      <c r="AZ52">
        <v>0</v>
      </c>
      <c r="BA52">
        <v>100</v>
      </c>
      <c r="BB52">
        <v>100</v>
      </c>
      <c r="BC52">
        <v>100</v>
      </c>
      <c r="BD52">
        <v>100</v>
      </c>
      <c r="BE52">
        <v>1</v>
      </c>
      <c r="BF52">
        <v>15000</v>
      </c>
      <c r="BG52">
        <v>1000</v>
      </c>
      <c r="BH52" s="8">
        <f>Granger_Inventory[[#This Row],[land_extract]]*Lookups!$B$3</f>
        <v>39068.720880293993</v>
      </c>
      <c r="BI52" s="8">
        <f>IF(Granger_Inventory[[#This Row],[bldg_style]]="",0,Lookups!$B$2)</f>
        <v>29703.559000000001</v>
      </c>
      <c r="BJ52" s="8">
        <f>_xlfn.IFNA(VLOOKUP(Granger_Inventory[[#This Row],[quality]],Lookups!$H$2:$J$14,3,FALSE),0)</f>
        <v>34195</v>
      </c>
      <c r="BK52" s="8">
        <f>_xlfn.IFNA(VLOOKUP(Granger_Inventory[[#This Row],[condition]],Lookups!$H$17:$J$24,3,FALSE),0)</f>
        <v>94106</v>
      </c>
      <c r="BL52" s="8">
        <f>Granger_Inventory[[#This Row],[Age]]*Lookups!$B$16</f>
        <v>-9951.8927999999996</v>
      </c>
      <c r="BM52" s="8">
        <f>Granger_Inventory[[#This Row],[living_area]]*Lookups!$B$17</f>
        <v>90414.789695999993</v>
      </c>
      <c r="BN52" s="8">
        <f>(Granger_Inventory[[#This Row],[att_gar]]+Granger_Inventory[[#This Row],[blt_gar]])*Lookups!$B$18</f>
        <v>0</v>
      </c>
      <c r="BO52" s="8">
        <f>Granger_Inventory[[#This Row],[Patio]]*Lookups!$B$19</f>
        <v>18249.872255999999</v>
      </c>
      <c r="BP52" s="8">
        <f>SUM(Granger_Inventory[[#This Row],[Intercept]:[Patio_Value]])*Granger_Inventory[[#This Row],[res_pct]]</f>
        <v>256717.328152</v>
      </c>
      <c r="BQ52" s="8">
        <f>Granger_Inventory[[#This Row],[land_value]]</f>
        <v>39068.720880293993</v>
      </c>
      <c r="BR52" s="4">
        <f>_xlfn.IFNA(VLOOKUP(Granger_Inventory[[#This Row],[quality]],Lookups!$A$25:$C$35,3,FALSE),1)</f>
        <v>0.98258795897788032</v>
      </c>
      <c r="BS52" s="4">
        <f>_xlfn.IFNA(VLOOKUP(Granger_Inventory[[#This Row],[condition]],Lookups!$A$38:$C$45,3,FALSE),1)</f>
        <v>0.98658583151544277</v>
      </c>
      <c r="BT52" s="4">
        <f>IF(Granger_Inventory[[#This Row],[decade]]="",1,_xlfn.IFNA(VLOOKUP(Granger_Inventory[[#This Row],[decade]],Lookups!$G$28:$I$42,3,FALSE),1))</f>
        <v>1.2441094871772171</v>
      </c>
      <c r="BU52" s="4">
        <f>_xlfn.IFNA(VLOOKUP(Granger_Inventory[[#This Row],[living_area_range]],Lookups!$A$48:$C$57,3,FALSE),1)</f>
        <v>0.97960506760539345</v>
      </c>
      <c r="BV52" s="4">
        <f>AVERAGE(Granger_Inventory[[#This Row],[qual_adj]:[living_range_adj]])</f>
        <v>1.0482220863189835</v>
      </c>
      <c r="BW52" s="8">
        <f>(Granger_Inventory[[#This Row],[sum_land]]-IF(Granger_Inventory[[#This Row],[no_utilities]]=1,12000,0))/IF(Granger_Inventory[[#This Row],[unbuildable]]=1,2,1)</f>
        <v>39068.720880293993</v>
      </c>
      <c r="BX52" s="8">
        <f>Granger_Inventory[[#This Row],[pre_res]]*Granger_Inventory[[#This Row],[overall_adj]]</f>
        <v>269096.77330972458</v>
      </c>
      <c r="BY52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52">
        <f>ROUND(Granger_Inventory[[#This Row],[detatched_value]]*Lookups!$I$45,-2)</f>
        <v>0</v>
      </c>
      <c r="CA52">
        <f>IF(ROUND(Granger_Inventory[[#This Row],[adj_res]]*Lookups!$I$45,-2)&lt;Granger_Inventory[[#This Row],[min_res]],Granger_Inventory[[#This Row],[min_res]],ROUND(Granger_Inventory[[#This Row],[adj_res]]*Lookups!$I$45,-2))</f>
        <v>255600</v>
      </c>
      <c r="CB52">
        <f>Granger_Inventory[[#This Row],[final_det]]+Granger_Inventory[[#This Row],[final_res]]</f>
        <v>255600</v>
      </c>
      <c r="CC52">
        <f>Granger_Inventory[[#This Row],[final_land]]+Granger_Inventory[[#This Row],[final_imp]]+Granger_Inventory[[#This Row],[crop_value]]</f>
        <v>292700</v>
      </c>
      <c r="CE52" t="str">
        <f t="shared" si="0"/>
        <v>update valuation set market_land =37100, market_bldg=255600, market_total =292700, market_mdno =402, market_date ='9/10/2023' where link_id = (select link_id from parcel where parcel_year = '2024' and parcel_id = '21101533014');</v>
      </c>
    </row>
    <row r="53" spans="1:83" x14ac:dyDescent="0.25">
      <c r="A53">
        <v>21101533017</v>
      </c>
      <c r="B53">
        <v>0.1</v>
      </c>
      <c r="C53">
        <v>4488</v>
      </c>
      <c r="D53" t="s">
        <v>137</v>
      </c>
      <c r="E53" t="s">
        <v>54</v>
      </c>
      <c r="F53" t="s">
        <v>54</v>
      </c>
      <c r="G53">
        <v>3</v>
      </c>
      <c r="H53" t="s">
        <v>55</v>
      </c>
      <c r="I53">
        <v>0</v>
      </c>
      <c r="J53">
        <v>22400</v>
      </c>
      <c r="K53">
        <v>0.1</v>
      </c>
      <c r="L53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53">
        <v>0</v>
      </c>
      <c r="N53">
        <v>0</v>
      </c>
      <c r="O53">
        <v>0</v>
      </c>
      <c r="P53">
        <v>47108.068500000001</v>
      </c>
      <c r="Q53">
        <v>122298</v>
      </c>
      <c r="R53">
        <f>(Granger_Inventory[[#This Row],[ln_acres]]*Granger_Inventory[[#This Row],[coeff]])+Granger_Inventory[[#This Row],[const]]</f>
        <v>13827.663712157635</v>
      </c>
      <c r="S53" t="s">
        <v>147</v>
      </c>
      <c r="T53">
        <v>1</v>
      </c>
      <c r="U53" t="s">
        <v>107</v>
      </c>
      <c r="V53" t="s">
        <v>109</v>
      </c>
      <c r="W53">
        <v>0</v>
      </c>
      <c r="X53">
        <v>0</v>
      </c>
      <c r="Y53">
        <v>88</v>
      </c>
      <c r="Z53">
        <v>88</v>
      </c>
      <c r="AA53">
        <v>90</v>
      </c>
      <c r="AB53">
        <v>1000</v>
      </c>
      <c r="AC53">
        <v>864</v>
      </c>
      <c r="AD53">
        <v>864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148</v>
      </c>
      <c r="AT53">
        <v>1</v>
      </c>
      <c r="AU53" t="s">
        <v>76</v>
      </c>
      <c r="AV53" t="s">
        <v>65</v>
      </c>
      <c r="AW53">
        <v>0</v>
      </c>
      <c r="AX53">
        <v>1</v>
      </c>
      <c r="AY53">
        <v>0</v>
      </c>
      <c r="AZ53">
        <v>0</v>
      </c>
      <c r="BA53">
        <v>100</v>
      </c>
      <c r="BB53">
        <v>100</v>
      </c>
      <c r="BC53">
        <v>100</v>
      </c>
      <c r="BD53">
        <v>100</v>
      </c>
      <c r="BE53">
        <v>1</v>
      </c>
      <c r="BF53">
        <v>15000</v>
      </c>
      <c r="BG53">
        <v>1000</v>
      </c>
      <c r="BH53" s="8">
        <f>Granger_Inventory[[#This Row],[land_extract]]*Lookups!$B$3</f>
        <v>8237.5651653746372</v>
      </c>
      <c r="BI53" s="8">
        <f>IF(Granger_Inventory[[#This Row],[bldg_style]]="",0,Lookups!$B$2)</f>
        <v>29703.559000000001</v>
      </c>
      <c r="BJ53" s="8">
        <f>_xlfn.IFNA(VLOOKUP(Granger_Inventory[[#This Row],[quality]],Lookups!$H$2:$J$14,3,FALSE),0)</f>
        <v>13627.20468015931</v>
      </c>
      <c r="BK53" s="8">
        <f>_xlfn.IFNA(VLOOKUP(Granger_Inventory[[#This Row],[condition]],Lookups!$H$17:$J$24,3,FALSE),0)</f>
        <v>8238</v>
      </c>
      <c r="BL53" s="8">
        <f>Granger_Inventory[[#This Row],[Age]]*Lookups!$B$16</f>
        <v>-18245.1368</v>
      </c>
      <c r="BM53" s="8">
        <f>Granger_Inventory[[#This Row],[living_area]]*Lookups!$B$17</f>
        <v>58123.793376000001</v>
      </c>
      <c r="BN53" s="8">
        <f>(Granger_Inventory[[#This Row],[att_gar]]+Granger_Inventory[[#This Row],[blt_gar]])*Lookups!$B$18</f>
        <v>0</v>
      </c>
      <c r="BO53" s="8">
        <f>Granger_Inventory[[#This Row],[Patio]]*Lookups!$B$19</f>
        <v>0</v>
      </c>
      <c r="BP53" s="8">
        <f>SUM(Granger_Inventory[[#This Row],[Intercept]:[Patio_Value]])*Granger_Inventory[[#This Row],[res_pct]]</f>
        <v>91447.420256159312</v>
      </c>
      <c r="BQ53" s="8">
        <f>Granger_Inventory[[#This Row],[land_value]]</f>
        <v>8237.5651653746372</v>
      </c>
      <c r="BR53" s="4">
        <f>_xlfn.IFNA(VLOOKUP(Granger_Inventory[[#This Row],[quality]],Lookups!$A$25:$C$35,3,FALSE),1)</f>
        <v>0.77695375541795109</v>
      </c>
      <c r="BS53" s="4">
        <f>_xlfn.IFNA(VLOOKUP(Granger_Inventory[[#This Row],[condition]],Lookups!$A$38:$C$45,3,FALSE),1)</f>
        <v>0.59507759803100935</v>
      </c>
      <c r="BT53" s="4">
        <f>IF(Granger_Inventory[[#This Row],[decade]]="",1,_xlfn.IFNA(VLOOKUP(Granger_Inventory[[#This Row],[decade]],Lookups!$G$28:$I$42,3,FALSE),1))</f>
        <v>0.95234610137492615</v>
      </c>
      <c r="BU53" s="4">
        <f>_xlfn.IFNA(VLOOKUP(Granger_Inventory[[#This Row],[living_area_range]],Lookups!$A$48:$C$57,3,FALSE),1)</f>
        <v>0.81272404900450645</v>
      </c>
      <c r="BV53" s="4">
        <f>AVERAGE(Granger_Inventory[[#This Row],[qual_adj]:[living_range_adj]])</f>
        <v>0.78427537595709829</v>
      </c>
      <c r="BW53" s="8">
        <f>(Granger_Inventory[[#This Row],[sum_land]]-IF(Granger_Inventory[[#This Row],[no_utilities]]=1,12000,0))/IF(Granger_Inventory[[#This Row],[unbuildable]]=1,2,1)</f>
        <v>8237.5651653746372</v>
      </c>
      <c r="BX53" s="8">
        <f>Granger_Inventory[[#This Row],[pre_res]]*Granger_Inventory[[#This Row],[overall_adj]]</f>
        <v>71719.959901706112</v>
      </c>
      <c r="BY53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53">
        <f>ROUND(Granger_Inventory[[#This Row],[detatched_value]]*Lookups!$I$45,-2)</f>
        <v>0</v>
      </c>
      <c r="CA53">
        <f>IF(ROUND(Granger_Inventory[[#This Row],[adj_res]]*Lookups!$I$45,-2)&lt;Granger_Inventory[[#This Row],[min_res]],Granger_Inventory[[#This Row],[min_res]],ROUND(Granger_Inventory[[#This Row],[adj_res]]*Lookups!$I$45,-2))</f>
        <v>68100</v>
      </c>
      <c r="CB53">
        <f>Granger_Inventory[[#This Row],[final_det]]+Granger_Inventory[[#This Row],[final_res]]</f>
        <v>68100</v>
      </c>
      <c r="CC53">
        <f>Granger_Inventory[[#This Row],[final_land]]+Granger_Inventory[[#This Row],[final_imp]]+Granger_Inventory[[#This Row],[crop_value]]</f>
        <v>83100</v>
      </c>
      <c r="CE53" t="str">
        <f t="shared" si="0"/>
        <v>update valuation set market_land =15000, market_bldg=68100, market_total =83100, market_mdno =402, market_date ='9/10/2023' where link_id = (select link_id from parcel where parcel_year = '2024' and parcel_id = '21101533017');</v>
      </c>
    </row>
    <row r="54" spans="1:83" x14ac:dyDescent="0.25">
      <c r="A54">
        <v>21101533403</v>
      </c>
      <c r="B54">
        <v>0.16</v>
      </c>
      <c r="C54">
        <v>7010</v>
      </c>
      <c r="D54" t="s">
        <v>137</v>
      </c>
      <c r="E54" t="s">
        <v>54</v>
      </c>
      <c r="F54" t="s">
        <v>54</v>
      </c>
      <c r="G54">
        <v>3</v>
      </c>
      <c r="H54" t="s">
        <v>55</v>
      </c>
      <c r="I54">
        <v>95100</v>
      </c>
      <c r="J54">
        <v>25000</v>
      </c>
      <c r="K54">
        <v>0.16</v>
      </c>
      <c r="L5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4">
        <v>0</v>
      </c>
      <c r="N54">
        <v>0</v>
      </c>
      <c r="O54">
        <v>0</v>
      </c>
      <c r="P54">
        <v>47108.068500000001</v>
      </c>
      <c r="Q54">
        <v>122298</v>
      </c>
      <c r="R54">
        <f>(Granger_Inventory[[#This Row],[ln_acres]]*Granger_Inventory[[#This Row],[coeff]])+Granger_Inventory[[#This Row],[const]]</f>
        <v>35968.626873914327</v>
      </c>
      <c r="S54" t="s">
        <v>69</v>
      </c>
      <c r="T54">
        <v>1</v>
      </c>
      <c r="U54" t="s">
        <v>78</v>
      </c>
      <c r="V54" t="s">
        <v>72</v>
      </c>
      <c r="W54">
        <v>0</v>
      </c>
      <c r="X54">
        <v>0</v>
      </c>
      <c r="Y54">
        <v>51</v>
      </c>
      <c r="Z54">
        <v>83</v>
      </c>
      <c r="AA54">
        <v>90</v>
      </c>
      <c r="AB54">
        <v>1000</v>
      </c>
      <c r="AC54">
        <v>852</v>
      </c>
      <c r="AD54">
        <v>852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70</v>
      </c>
      <c r="AO54">
        <v>70</v>
      </c>
      <c r="AP54">
        <v>5</v>
      </c>
      <c r="AQ54">
        <v>0</v>
      </c>
      <c r="AR54">
        <v>0</v>
      </c>
      <c r="AS54" t="s">
        <v>59</v>
      </c>
      <c r="AT54">
        <v>0</v>
      </c>
      <c r="AU54" t="s">
        <v>83</v>
      </c>
      <c r="AV54" t="s">
        <v>144</v>
      </c>
      <c r="AW54">
        <v>0</v>
      </c>
      <c r="AX54">
        <v>2</v>
      </c>
      <c r="AY54">
        <v>0</v>
      </c>
      <c r="AZ54">
        <v>0</v>
      </c>
      <c r="BA54">
        <v>100</v>
      </c>
      <c r="BB54">
        <v>100</v>
      </c>
      <c r="BC54">
        <v>100</v>
      </c>
      <c r="BD54">
        <v>100</v>
      </c>
      <c r="BE54">
        <v>1</v>
      </c>
      <c r="BF54">
        <v>15000</v>
      </c>
      <c r="BG54">
        <v>1000</v>
      </c>
      <c r="BH54" s="8">
        <f>Granger_Inventory[[#This Row],[land_extract]]*Lookups!$B$3</f>
        <v>21427.618862498482</v>
      </c>
      <c r="BI54" s="8">
        <f>IF(Granger_Inventory[[#This Row],[bldg_style]]="",0,Lookups!$B$2)</f>
        <v>29703.559000000001</v>
      </c>
      <c r="BJ54" s="8">
        <f>_xlfn.IFNA(VLOOKUP(Granger_Inventory[[#This Row],[quality]],Lookups!$H$2:$J$14,3,FALSE),0)</f>
        <v>23737.786340274597</v>
      </c>
      <c r="BK54" s="8">
        <f>_xlfn.IFNA(VLOOKUP(Granger_Inventory[[#This Row],[condition]],Lookups!$H$17:$J$24,3,FALSE),0)</f>
        <v>94106</v>
      </c>
      <c r="BL54" s="8">
        <f>Granger_Inventory[[#This Row],[Age]]*Lookups!$B$16</f>
        <v>-17208.481299999999</v>
      </c>
      <c r="BM54" s="8">
        <f>Granger_Inventory[[#This Row],[living_area]]*Lookups!$B$17</f>
        <v>57316.518468000002</v>
      </c>
      <c r="BN54" s="8">
        <f>(Granger_Inventory[[#This Row],[att_gar]]+Granger_Inventory[[#This Row],[blt_gar]])*Lookups!$B$18</f>
        <v>0</v>
      </c>
      <c r="BO54" s="8">
        <f>Granger_Inventory[[#This Row],[Patio]]*Lookups!$B$19</f>
        <v>0</v>
      </c>
      <c r="BP54" s="8">
        <f>SUM(Granger_Inventory[[#This Row],[Intercept]:[Patio_Value]])*Granger_Inventory[[#This Row],[res_pct]]</f>
        <v>187655.3825082746</v>
      </c>
      <c r="BQ54" s="8">
        <f>Granger_Inventory[[#This Row],[land_value]]</f>
        <v>21427.618862498482</v>
      </c>
      <c r="BR54" s="4">
        <f>_xlfn.IFNA(VLOOKUP(Granger_Inventory[[#This Row],[quality]],Lookups!$A$25:$C$35,3,FALSE),1)</f>
        <v>0.77695375541795109</v>
      </c>
      <c r="BS54" s="4">
        <f>_xlfn.IFNA(VLOOKUP(Granger_Inventory[[#This Row],[condition]],Lookups!$A$38:$C$45,3,FALSE),1)</f>
        <v>0.98658583151544277</v>
      </c>
      <c r="BT54" s="4">
        <f>IF(Granger_Inventory[[#This Row],[decade]]="",1,_xlfn.IFNA(VLOOKUP(Granger_Inventory[[#This Row],[decade]],Lookups!$G$28:$I$42,3,FALSE),1))</f>
        <v>0.95234610137492615</v>
      </c>
      <c r="BU54" s="4">
        <f>_xlfn.IFNA(VLOOKUP(Granger_Inventory[[#This Row],[living_area_range]],Lookups!$A$48:$C$57,3,FALSE),1)</f>
        <v>0.81272404900450645</v>
      </c>
      <c r="BV54" s="4">
        <f>AVERAGE(Granger_Inventory[[#This Row],[qual_adj]:[living_range_adj]])</f>
        <v>0.88215243432820656</v>
      </c>
      <c r="BW54" s="8">
        <f>(Granger_Inventory[[#This Row],[sum_land]]-IF(Granger_Inventory[[#This Row],[no_utilities]]=1,12000,0))/IF(Granger_Inventory[[#This Row],[unbuildable]]=1,2,1)</f>
        <v>21427.618862498482</v>
      </c>
      <c r="BX54" s="8">
        <f>Granger_Inventory[[#This Row],[pre_res]]*Granger_Inventory[[#This Row],[overall_adj]]</f>
        <v>165540.6524944652</v>
      </c>
      <c r="BY5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4">
        <f>ROUND(Granger_Inventory[[#This Row],[detatched_value]]*Lookups!$I$45,-2)</f>
        <v>0</v>
      </c>
      <c r="CA54">
        <f>IF(ROUND(Granger_Inventory[[#This Row],[adj_res]]*Lookups!$I$45,-2)&lt;Granger_Inventory[[#This Row],[min_res]],Granger_Inventory[[#This Row],[min_res]],ROUND(Granger_Inventory[[#This Row],[adj_res]]*Lookups!$I$45,-2))</f>
        <v>157300</v>
      </c>
      <c r="CB54">
        <f>Granger_Inventory[[#This Row],[final_det]]+Granger_Inventory[[#This Row],[final_res]]</f>
        <v>157300</v>
      </c>
      <c r="CC54">
        <f>Granger_Inventory[[#This Row],[final_land]]+Granger_Inventory[[#This Row],[final_imp]]+Granger_Inventory[[#This Row],[crop_value]]</f>
        <v>177700</v>
      </c>
      <c r="CE54" t="str">
        <f t="shared" si="0"/>
        <v>update valuation set market_land =20400, market_bldg=157300, market_total =177700, market_mdno =402, market_date ='9/10/2023' where link_id = (select link_id from parcel where parcel_year = '2024' and parcel_id = '21101533403');</v>
      </c>
    </row>
    <row r="55" spans="1:83" x14ac:dyDescent="0.25">
      <c r="A55">
        <v>21101533404</v>
      </c>
      <c r="B55">
        <v>0.16</v>
      </c>
      <c r="C55">
        <v>7084</v>
      </c>
      <c r="D55" t="s">
        <v>137</v>
      </c>
      <c r="E55" t="s">
        <v>54</v>
      </c>
      <c r="F55" t="s">
        <v>54</v>
      </c>
      <c r="G55">
        <v>3</v>
      </c>
      <c r="H55" t="s">
        <v>55</v>
      </c>
      <c r="I55">
        <v>54600</v>
      </c>
      <c r="J55">
        <v>25000</v>
      </c>
      <c r="K55">
        <v>0.16</v>
      </c>
      <c r="L55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5">
        <v>0</v>
      </c>
      <c r="N55">
        <v>0</v>
      </c>
      <c r="O55">
        <v>0</v>
      </c>
      <c r="P55">
        <v>47108.068500000001</v>
      </c>
      <c r="Q55">
        <v>122298</v>
      </c>
      <c r="R55">
        <f>(Granger_Inventory[[#This Row],[ln_acres]]*Granger_Inventory[[#This Row],[coeff]])+Granger_Inventory[[#This Row],[const]]</f>
        <v>35968.626873914327</v>
      </c>
      <c r="S55" t="s">
        <v>69</v>
      </c>
      <c r="T55">
        <v>1</v>
      </c>
      <c r="U55" t="s">
        <v>78</v>
      </c>
      <c r="V55" t="s">
        <v>77</v>
      </c>
      <c r="W55">
        <v>0</v>
      </c>
      <c r="X55">
        <v>0</v>
      </c>
      <c r="Y55">
        <v>53</v>
      </c>
      <c r="Z55">
        <v>92</v>
      </c>
      <c r="AA55">
        <v>100</v>
      </c>
      <c r="AB55">
        <v>1000</v>
      </c>
      <c r="AC55">
        <v>840</v>
      </c>
      <c r="AD55">
        <v>840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84</v>
      </c>
      <c r="AN55">
        <v>0</v>
      </c>
      <c r="AO55">
        <v>0</v>
      </c>
      <c r="AP55">
        <v>5</v>
      </c>
      <c r="AQ55">
        <v>0</v>
      </c>
      <c r="AR55">
        <v>0</v>
      </c>
      <c r="AS55" t="s">
        <v>59</v>
      </c>
      <c r="AT55">
        <v>1</v>
      </c>
      <c r="AU55" t="s">
        <v>60</v>
      </c>
      <c r="AV55" t="s">
        <v>61</v>
      </c>
      <c r="AW55">
        <v>0</v>
      </c>
      <c r="AX55">
        <v>2</v>
      </c>
      <c r="AY55">
        <v>0</v>
      </c>
      <c r="AZ55">
        <v>5000</v>
      </c>
      <c r="BA55">
        <v>100</v>
      </c>
      <c r="BB55">
        <v>100</v>
      </c>
      <c r="BC55">
        <v>100</v>
      </c>
      <c r="BD55">
        <v>100</v>
      </c>
      <c r="BE55">
        <v>1</v>
      </c>
      <c r="BF55">
        <v>15000</v>
      </c>
      <c r="BG55">
        <v>1000</v>
      </c>
      <c r="BH55" s="8">
        <f>Granger_Inventory[[#This Row],[land_extract]]*Lookups!$B$3</f>
        <v>21427.618862498482</v>
      </c>
      <c r="BI55" s="8">
        <f>IF(Granger_Inventory[[#This Row],[bldg_style]]="",0,Lookups!$B$2)</f>
        <v>29703.559000000001</v>
      </c>
      <c r="BJ55" s="8">
        <f>_xlfn.IFNA(VLOOKUP(Granger_Inventory[[#This Row],[quality]],Lookups!$H$2:$J$14,3,FALSE),0)</f>
        <v>23737.786340274597</v>
      </c>
      <c r="BK55" s="8">
        <f>_xlfn.IFNA(VLOOKUP(Granger_Inventory[[#This Row],[condition]],Lookups!$H$17:$J$24,3,FALSE),0)</f>
        <v>33736</v>
      </c>
      <c r="BL55" s="8">
        <f>Granger_Inventory[[#This Row],[Age]]*Lookups!$B$16</f>
        <v>-19074.461199999998</v>
      </c>
      <c r="BM55" s="8">
        <f>Granger_Inventory[[#This Row],[living_area]]*Lookups!$B$17</f>
        <v>56509.243559999995</v>
      </c>
      <c r="BN55" s="8">
        <f>(Granger_Inventory[[#This Row],[att_gar]]+Granger_Inventory[[#This Row],[blt_gar]])*Lookups!$B$18</f>
        <v>0</v>
      </c>
      <c r="BO55" s="8">
        <f>Granger_Inventory[[#This Row],[Patio]]*Lookups!$B$19</f>
        <v>4562.4680639999997</v>
      </c>
      <c r="BP55" s="8">
        <f>SUM(Granger_Inventory[[#This Row],[Intercept]:[Patio_Value]])*Granger_Inventory[[#This Row],[res_pct]]</f>
        <v>129174.59576427461</v>
      </c>
      <c r="BQ55" s="8">
        <f>Granger_Inventory[[#This Row],[land_value]]</f>
        <v>21427.618862498482</v>
      </c>
      <c r="BR55" s="4">
        <f>_xlfn.IFNA(VLOOKUP(Granger_Inventory[[#This Row],[quality]],Lookups!$A$25:$C$35,3,FALSE),1)</f>
        <v>0.77695375541795109</v>
      </c>
      <c r="BS55" s="4">
        <f>_xlfn.IFNA(VLOOKUP(Granger_Inventory[[#This Row],[condition]],Lookups!$A$38:$C$45,3,FALSE),1)</f>
        <v>0.92294678898076177</v>
      </c>
      <c r="BT55" s="4">
        <f>IF(Granger_Inventory[[#This Row],[decade]]="",1,_xlfn.IFNA(VLOOKUP(Granger_Inventory[[#This Row],[decade]],Lookups!$G$28:$I$42,3,FALSE),1))</f>
        <v>0.879441629375324</v>
      </c>
      <c r="BU55" s="4">
        <f>_xlfn.IFNA(VLOOKUP(Granger_Inventory[[#This Row],[living_area_range]],Lookups!$A$48:$C$57,3,FALSE),1)</f>
        <v>0.81272404900450645</v>
      </c>
      <c r="BV55" s="4">
        <f>AVERAGE(Granger_Inventory[[#This Row],[qual_adj]:[living_range_adj]])</f>
        <v>0.84801655569463574</v>
      </c>
      <c r="BW55" s="8">
        <f>(Granger_Inventory[[#This Row],[sum_land]]-IF(Granger_Inventory[[#This Row],[no_utilities]]=1,12000,0))/IF(Granger_Inventory[[#This Row],[unbuildable]]=1,2,1)</f>
        <v>21427.618862498482</v>
      </c>
      <c r="BX55" s="8">
        <f>Granger_Inventory[[#This Row],[pre_res]]*Granger_Inventory[[#This Row],[overall_adj]]</f>
        <v>109542.19578326703</v>
      </c>
      <c r="BY55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5">
        <f>ROUND(Granger_Inventory[[#This Row],[detatched_value]]*Lookups!$I$45,-2)</f>
        <v>4800</v>
      </c>
      <c r="CA55">
        <f>IF(ROUND(Granger_Inventory[[#This Row],[adj_res]]*Lookups!$I$45,-2)&lt;Granger_Inventory[[#This Row],[min_res]],Granger_Inventory[[#This Row],[min_res]],ROUND(Granger_Inventory[[#This Row],[adj_res]]*Lookups!$I$45,-2))</f>
        <v>104100</v>
      </c>
      <c r="CB55">
        <f>Granger_Inventory[[#This Row],[final_det]]+Granger_Inventory[[#This Row],[final_res]]</f>
        <v>108900</v>
      </c>
      <c r="CC55">
        <f>Granger_Inventory[[#This Row],[final_land]]+Granger_Inventory[[#This Row],[final_imp]]+Granger_Inventory[[#This Row],[crop_value]]</f>
        <v>129300</v>
      </c>
      <c r="CE55" t="str">
        <f t="shared" si="0"/>
        <v>update valuation set market_land =20400, market_bldg=108900, market_total =129300, market_mdno =402, market_date ='9/10/2023' where link_id = (select link_id from parcel where parcel_year = '2024' and parcel_id = '21101533404');</v>
      </c>
    </row>
    <row r="56" spans="1:83" x14ac:dyDescent="0.25">
      <c r="A56">
        <v>21101533405</v>
      </c>
      <c r="B56">
        <v>0.16</v>
      </c>
      <c r="C56">
        <v>7032</v>
      </c>
      <c r="D56" t="s">
        <v>137</v>
      </c>
      <c r="E56" t="s">
        <v>54</v>
      </c>
      <c r="F56" t="s">
        <v>54</v>
      </c>
      <c r="G56">
        <v>3</v>
      </c>
      <c r="H56" t="s">
        <v>55</v>
      </c>
      <c r="I56">
        <v>71600</v>
      </c>
      <c r="J56">
        <v>25000</v>
      </c>
      <c r="K56">
        <v>0.16</v>
      </c>
      <c r="L5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6">
        <v>0</v>
      </c>
      <c r="N56">
        <v>0</v>
      </c>
      <c r="O56">
        <v>0</v>
      </c>
      <c r="P56">
        <v>47108.068500000001</v>
      </c>
      <c r="Q56">
        <v>122298</v>
      </c>
      <c r="R56">
        <f>(Granger_Inventory[[#This Row],[ln_acres]]*Granger_Inventory[[#This Row],[coeff]])+Granger_Inventory[[#This Row],[const]]</f>
        <v>35968.626873914327</v>
      </c>
      <c r="S56" t="s">
        <v>59</v>
      </c>
      <c r="T56">
        <v>1</v>
      </c>
      <c r="U56" t="s">
        <v>71</v>
      </c>
      <c r="V56" t="s">
        <v>79</v>
      </c>
      <c r="W56">
        <v>0</v>
      </c>
      <c r="X56">
        <v>0</v>
      </c>
      <c r="Y56">
        <v>31</v>
      </c>
      <c r="Z56">
        <v>31</v>
      </c>
      <c r="AA56">
        <v>40</v>
      </c>
      <c r="AB56">
        <v>1000</v>
      </c>
      <c r="AC56">
        <v>768</v>
      </c>
      <c r="AD56">
        <v>768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30</v>
      </c>
      <c r="AN56">
        <v>0</v>
      </c>
      <c r="AO56">
        <v>0</v>
      </c>
      <c r="AP56">
        <v>5</v>
      </c>
      <c r="AQ56">
        <v>1</v>
      </c>
      <c r="AR56">
        <v>0</v>
      </c>
      <c r="AS56" t="s">
        <v>59</v>
      </c>
      <c r="AT56">
        <v>1</v>
      </c>
      <c r="AU56" t="s">
        <v>68</v>
      </c>
      <c r="AV56" t="s">
        <v>65</v>
      </c>
      <c r="AW56">
        <v>0</v>
      </c>
      <c r="AX56">
        <v>2</v>
      </c>
      <c r="AY56">
        <v>0</v>
      </c>
      <c r="AZ56">
        <v>0</v>
      </c>
      <c r="BA56">
        <v>100</v>
      </c>
      <c r="BB56">
        <v>100</v>
      </c>
      <c r="BC56">
        <v>100</v>
      </c>
      <c r="BD56">
        <v>100</v>
      </c>
      <c r="BE56">
        <v>1</v>
      </c>
      <c r="BF56">
        <v>15000</v>
      </c>
      <c r="BG56">
        <v>1000</v>
      </c>
      <c r="BH56" s="8">
        <f>Granger_Inventory[[#This Row],[land_extract]]*Lookups!$B$3</f>
        <v>21427.618862498482</v>
      </c>
      <c r="BI56" s="8">
        <f>IF(Granger_Inventory[[#This Row],[bldg_style]]="",0,Lookups!$B$2)</f>
        <v>29703.559000000001</v>
      </c>
      <c r="BJ56" s="8">
        <f>_xlfn.IFNA(VLOOKUP(Granger_Inventory[[#This Row],[quality]],Lookups!$H$2:$J$14,3,FALSE),0)</f>
        <v>34195</v>
      </c>
      <c r="BK56" s="8">
        <f>_xlfn.IFNA(VLOOKUP(Granger_Inventory[[#This Row],[condition]],Lookups!$H$17:$J$24,3,FALSE),0)</f>
        <v>86727</v>
      </c>
      <c r="BL56" s="8">
        <f>Granger_Inventory[[#This Row],[Age]]*Lookups!$B$16</f>
        <v>-6427.2640999999994</v>
      </c>
      <c r="BM56" s="8">
        <f>Granger_Inventory[[#This Row],[living_area]]*Lookups!$B$17</f>
        <v>51665.594111999999</v>
      </c>
      <c r="BN56" s="8">
        <f>(Granger_Inventory[[#This Row],[att_gar]]+Granger_Inventory[[#This Row],[blt_gar]])*Lookups!$B$18</f>
        <v>0</v>
      </c>
      <c r="BO56" s="8">
        <f>Granger_Inventory[[#This Row],[Patio]]*Lookups!$B$19</f>
        <v>1629.4528799999998</v>
      </c>
      <c r="BP56" s="8">
        <f>SUM(Granger_Inventory[[#This Row],[Intercept]:[Patio_Value]])*Granger_Inventory[[#This Row],[res_pct]]</f>
        <v>197493.341892</v>
      </c>
      <c r="BQ56" s="8">
        <f>Granger_Inventory[[#This Row],[land_value]]</f>
        <v>21427.618862498482</v>
      </c>
      <c r="BR56" s="4">
        <f>_xlfn.IFNA(VLOOKUP(Granger_Inventory[[#This Row],[quality]],Lookups!$A$25:$C$35,3,FALSE),1)</f>
        <v>0.98258795897788032</v>
      </c>
      <c r="BS56" s="4">
        <f>_xlfn.IFNA(VLOOKUP(Granger_Inventory[[#This Row],[condition]],Lookups!$A$38:$C$45,3,FALSE),1)</f>
        <v>0.85322907131620684</v>
      </c>
      <c r="BT56" s="4">
        <f>IF(Granger_Inventory[[#This Row],[decade]]="",1,_xlfn.IFNA(VLOOKUP(Granger_Inventory[[#This Row],[decade]],Lookups!$G$28:$I$42,3,FALSE),1))</f>
        <v>0.98127609555109363</v>
      </c>
      <c r="BU56" s="4">
        <f>_xlfn.IFNA(VLOOKUP(Granger_Inventory[[#This Row],[living_area_range]],Lookups!$A$48:$C$57,3,FALSE),1)</f>
        <v>0.81272404900450645</v>
      </c>
      <c r="BV56" s="4">
        <f>AVERAGE(Granger_Inventory[[#This Row],[qual_adj]:[living_range_adj]])</f>
        <v>0.90745429371242181</v>
      </c>
      <c r="BW56" s="8">
        <f>(Granger_Inventory[[#This Row],[sum_land]]-IF(Granger_Inventory[[#This Row],[no_utilities]]=1,12000,0))/IF(Granger_Inventory[[#This Row],[unbuildable]]=1,2,1)</f>
        <v>21427.618862498482</v>
      </c>
      <c r="BX56" s="8">
        <f>Granger_Inventory[[#This Row],[pre_res]]*Granger_Inventory[[#This Row],[overall_adj]]</f>
        <v>179216.18107951072</v>
      </c>
      <c r="BY5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6">
        <f>ROUND(Granger_Inventory[[#This Row],[detatched_value]]*Lookups!$I$45,-2)</f>
        <v>0</v>
      </c>
      <c r="CA56">
        <f>IF(ROUND(Granger_Inventory[[#This Row],[adj_res]]*Lookups!$I$45,-2)&lt;Granger_Inventory[[#This Row],[min_res]],Granger_Inventory[[#This Row],[min_res]],ROUND(Granger_Inventory[[#This Row],[adj_res]]*Lookups!$I$45,-2))</f>
        <v>170300</v>
      </c>
      <c r="CB56">
        <f>Granger_Inventory[[#This Row],[final_det]]+Granger_Inventory[[#This Row],[final_res]]</f>
        <v>170300</v>
      </c>
      <c r="CC56">
        <f>Granger_Inventory[[#This Row],[final_land]]+Granger_Inventory[[#This Row],[final_imp]]+Granger_Inventory[[#This Row],[crop_value]]</f>
        <v>190700</v>
      </c>
      <c r="CE56" t="str">
        <f t="shared" si="0"/>
        <v>update valuation set market_land =20400, market_bldg=170300, market_total =190700, market_mdno =402, market_date ='9/10/2023' where link_id = (select link_id from parcel where parcel_year = '2024' and parcel_id = '21101533405');</v>
      </c>
    </row>
    <row r="57" spans="1:83" x14ac:dyDescent="0.25">
      <c r="A57">
        <v>21101533407</v>
      </c>
      <c r="B57">
        <v>0.14000000000000001</v>
      </c>
      <c r="C57">
        <v>6276</v>
      </c>
      <c r="D57" t="s">
        <v>137</v>
      </c>
      <c r="E57" t="s">
        <v>54</v>
      </c>
      <c r="F57" t="s">
        <v>54</v>
      </c>
      <c r="G57">
        <v>3</v>
      </c>
      <c r="H57" t="s">
        <v>55</v>
      </c>
      <c r="I57">
        <v>91400</v>
      </c>
      <c r="J57">
        <v>24200</v>
      </c>
      <c r="K57">
        <v>0.14000000000000001</v>
      </c>
      <c r="L5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57">
        <v>0</v>
      </c>
      <c r="N57">
        <v>0</v>
      </c>
      <c r="O57">
        <v>0</v>
      </c>
      <c r="P57">
        <v>47108.068500000001</v>
      </c>
      <c r="Q57">
        <v>122298</v>
      </c>
      <c r="R57">
        <f>(Granger_Inventory[[#This Row],[ln_acres]]*Granger_Inventory[[#This Row],[coeff]])+Granger_Inventory[[#This Row],[const]]</f>
        <v>29678.220883257934</v>
      </c>
      <c r="S57" t="s">
        <v>69</v>
      </c>
      <c r="T57">
        <v>1</v>
      </c>
      <c r="U57" t="s">
        <v>78</v>
      </c>
      <c r="V57" t="s">
        <v>77</v>
      </c>
      <c r="W57">
        <v>0</v>
      </c>
      <c r="X57">
        <v>0</v>
      </c>
      <c r="Y57">
        <v>51</v>
      </c>
      <c r="Z57">
        <v>78</v>
      </c>
      <c r="AA57">
        <v>80</v>
      </c>
      <c r="AB57">
        <v>1500</v>
      </c>
      <c r="AC57">
        <v>1152</v>
      </c>
      <c r="AD57">
        <v>1152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84</v>
      </c>
      <c r="AN57">
        <v>0</v>
      </c>
      <c r="AO57">
        <v>0</v>
      </c>
      <c r="AP57">
        <v>5</v>
      </c>
      <c r="AQ57">
        <v>0</v>
      </c>
      <c r="AR57">
        <v>0</v>
      </c>
      <c r="AS57" t="s">
        <v>59</v>
      </c>
      <c r="AT57">
        <v>0</v>
      </c>
      <c r="AU57" t="s">
        <v>83</v>
      </c>
      <c r="AV57" t="s">
        <v>61</v>
      </c>
      <c r="AW57">
        <v>0</v>
      </c>
      <c r="AX57">
        <v>3</v>
      </c>
      <c r="AY57">
        <v>0</v>
      </c>
      <c r="AZ57">
        <v>2300</v>
      </c>
      <c r="BA57">
        <v>100</v>
      </c>
      <c r="BB57">
        <v>100</v>
      </c>
      <c r="BC57">
        <v>100</v>
      </c>
      <c r="BD57">
        <v>100</v>
      </c>
      <c r="BE57">
        <v>1</v>
      </c>
      <c r="BF57">
        <v>15000</v>
      </c>
      <c r="BG57">
        <v>1000</v>
      </c>
      <c r="BH57" s="8">
        <f>Granger_Inventory[[#This Row],[land_extract]]*Lookups!$B$3</f>
        <v>17680.230269359956</v>
      </c>
      <c r="BI57" s="8">
        <f>IF(Granger_Inventory[[#This Row],[bldg_style]]="",0,Lookups!$B$2)</f>
        <v>29703.559000000001</v>
      </c>
      <c r="BJ57" s="8">
        <f>_xlfn.IFNA(VLOOKUP(Granger_Inventory[[#This Row],[quality]],Lookups!$H$2:$J$14,3,FALSE),0)</f>
        <v>23737.786340274597</v>
      </c>
      <c r="BK57" s="8">
        <f>_xlfn.IFNA(VLOOKUP(Granger_Inventory[[#This Row],[condition]],Lookups!$H$17:$J$24,3,FALSE),0)</f>
        <v>33736</v>
      </c>
      <c r="BL57" s="8">
        <f>Granger_Inventory[[#This Row],[Age]]*Lookups!$B$16</f>
        <v>-16171.825799999999</v>
      </c>
      <c r="BM57" s="8">
        <f>Granger_Inventory[[#This Row],[living_area]]*Lookups!$B$17</f>
        <v>77498.391168000002</v>
      </c>
      <c r="BN57" s="8">
        <f>(Granger_Inventory[[#This Row],[att_gar]]+Granger_Inventory[[#This Row],[blt_gar]])*Lookups!$B$18</f>
        <v>0</v>
      </c>
      <c r="BO57" s="8">
        <f>Granger_Inventory[[#This Row],[Patio]]*Lookups!$B$19</f>
        <v>4562.4680639999997</v>
      </c>
      <c r="BP57" s="8">
        <f>SUM(Granger_Inventory[[#This Row],[Intercept]:[Patio_Value]])*Granger_Inventory[[#This Row],[res_pct]]</f>
        <v>153066.37877227459</v>
      </c>
      <c r="BQ57" s="8">
        <f>Granger_Inventory[[#This Row],[land_value]]</f>
        <v>17680.230269359956</v>
      </c>
      <c r="BR57" s="4">
        <f>_xlfn.IFNA(VLOOKUP(Granger_Inventory[[#This Row],[quality]],Lookups!$A$25:$C$35,3,FALSE),1)</f>
        <v>0.77695375541795109</v>
      </c>
      <c r="BS57" s="4">
        <f>_xlfn.IFNA(VLOOKUP(Granger_Inventory[[#This Row],[condition]],Lookups!$A$38:$C$45,3,FALSE),1)</f>
        <v>0.92294678898076177</v>
      </c>
      <c r="BT57" s="4">
        <f>IF(Granger_Inventory[[#This Row],[decade]]="",1,_xlfn.IFNA(VLOOKUP(Granger_Inventory[[#This Row],[decade]],Lookups!$G$28:$I$42,3,FALSE),1))</f>
        <v>0.76006056002554967</v>
      </c>
      <c r="BU57" s="4">
        <f>_xlfn.IFNA(VLOOKUP(Granger_Inventory[[#This Row],[living_area_range]],Lookups!$A$48:$C$57,3,FALSE),1)</f>
        <v>0.97960506760539345</v>
      </c>
      <c r="BV57" s="4">
        <f>AVERAGE(Granger_Inventory[[#This Row],[qual_adj]:[living_range_adj]])</f>
        <v>0.85989154300741399</v>
      </c>
      <c r="BW57" s="8">
        <f>(Granger_Inventory[[#This Row],[sum_land]]-IF(Granger_Inventory[[#This Row],[no_utilities]]=1,12000,0))/IF(Granger_Inventory[[#This Row],[unbuildable]]=1,2,1)</f>
        <v>17680.230269359956</v>
      </c>
      <c r="BX57" s="8">
        <f>Granger_Inventory[[#This Row],[pre_res]]*Granger_Inventory[[#This Row],[overall_adj]]</f>
        <v>131620.48462504847</v>
      </c>
      <c r="BY5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57">
        <f>ROUND(Granger_Inventory[[#This Row],[detatched_value]]*Lookups!$I$45,-2)</f>
        <v>2200</v>
      </c>
      <c r="CA57">
        <f>IF(ROUND(Granger_Inventory[[#This Row],[adj_res]]*Lookups!$I$45,-2)&lt;Granger_Inventory[[#This Row],[min_res]],Granger_Inventory[[#This Row],[min_res]],ROUND(Granger_Inventory[[#This Row],[adj_res]]*Lookups!$I$45,-2))</f>
        <v>125000</v>
      </c>
      <c r="CB57">
        <f>Granger_Inventory[[#This Row],[final_det]]+Granger_Inventory[[#This Row],[final_res]]</f>
        <v>127200</v>
      </c>
      <c r="CC57">
        <f>Granger_Inventory[[#This Row],[final_land]]+Granger_Inventory[[#This Row],[final_imp]]+Granger_Inventory[[#This Row],[crop_value]]</f>
        <v>144000</v>
      </c>
      <c r="CE57" t="str">
        <f t="shared" si="0"/>
        <v>update valuation set market_land =16800, market_bldg=127200, market_total =144000, market_mdno =402, market_date ='9/10/2023' where link_id = (select link_id from parcel where parcel_year = '2024' and parcel_id = '21101533407');</v>
      </c>
    </row>
    <row r="58" spans="1:83" x14ac:dyDescent="0.25">
      <c r="A58">
        <v>21101533408</v>
      </c>
      <c r="B58">
        <v>0.16</v>
      </c>
      <c r="C58">
        <v>6838</v>
      </c>
      <c r="D58" t="s">
        <v>137</v>
      </c>
      <c r="E58" t="s">
        <v>54</v>
      </c>
      <c r="F58" t="s">
        <v>54</v>
      </c>
      <c r="G58">
        <v>3</v>
      </c>
      <c r="H58" t="s">
        <v>55</v>
      </c>
      <c r="I58">
        <v>1800</v>
      </c>
      <c r="J58">
        <v>25000</v>
      </c>
      <c r="K58">
        <v>0.16</v>
      </c>
      <c r="L5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8">
        <v>0</v>
      </c>
      <c r="N58">
        <v>0</v>
      </c>
      <c r="O58">
        <v>0</v>
      </c>
      <c r="P58">
        <v>47108.068500000001</v>
      </c>
      <c r="Q58">
        <v>122298</v>
      </c>
      <c r="R58">
        <f>(Granger_Inventory[[#This Row],[ln_acres]]*Granger_Inventory[[#This Row],[coeff]])+Granger_Inventory[[#This Row],[const]]</f>
        <v>35968.626873914327</v>
      </c>
      <c r="S58" t="s">
        <v>62</v>
      </c>
      <c r="T58">
        <v>1</v>
      </c>
      <c r="U58" t="s">
        <v>78</v>
      </c>
      <c r="V58" t="s">
        <v>79</v>
      </c>
      <c r="W58">
        <v>0</v>
      </c>
      <c r="X58">
        <v>0</v>
      </c>
      <c r="Y58">
        <v>46</v>
      </c>
      <c r="Z58">
        <v>53</v>
      </c>
      <c r="AA58">
        <v>60</v>
      </c>
      <c r="AB58">
        <v>1000</v>
      </c>
      <c r="AC58">
        <v>660</v>
      </c>
      <c r="AD58">
        <v>660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24</v>
      </c>
      <c r="AN58">
        <v>24</v>
      </c>
      <c r="AO58">
        <v>0</v>
      </c>
      <c r="AP58">
        <v>0</v>
      </c>
      <c r="AQ58">
        <v>0</v>
      </c>
      <c r="AR58">
        <v>0</v>
      </c>
      <c r="AS58" t="s">
        <v>59</v>
      </c>
      <c r="AT58">
        <v>0</v>
      </c>
      <c r="AU58" t="s">
        <v>142</v>
      </c>
      <c r="AV58" t="s">
        <v>143</v>
      </c>
      <c r="AW58">
        <v>0</v>
      </c>
      <c r="AX58">
        <v>1</v>
      </c>
      <c r="AY58">
        <v>0</v>
      </c>
      <c r="AZ58">
        <v>0</v>
      </c>
      <c r="BA58">
        <v>100</v>
      </c>
      <c r="BB58">
        <v>100</v>
      </c>
      <c r="BC58">
        <v>100</v>
      </c>
      <c r="BD58">
        <v>27</v>
      </c>
      <c r="BE58">
        <v>0.27</v>
      </c>
      <c r="BF58">
        <v>15000</v>
      </c>
      <c r="BG58">
        <v>1000</v>
      </c>
      <c r="BH58" s="8">
        <f>Granger_Inventory[[#This Row],[land_extract]]*Lookups!$B$3</f>
        <v>21427.618862498482</v>
      </c>
      <c r="BI58" s="8">
        <f>IF(Granger_Inventory[[#This Row],[bldg_style]]="",0,Lookups!$B$2)</f>
        <v>29703.559000000001</v>
      </c>
      <c r="BJ58" s="8">
        <f>_xlfn.IFNA(VLOOKUP(Granger_Inventory[[#This Row],[quality]],Lookups!$H$2:$J$14,3,FALSE),0)</f>
        <v>23737.786340274597</v>
      </c>
      <c r="BK58" s="8">
        <f>_xlfn.IFNA(VLOOKUP(Granger_Inventory[[#This Row],[condition]],Lookups!$H$17:$J$24,3,FALSE),0)</f>
        <v>86727</v>
      </c>
      <c r="BL58" s="8">
        <f>Granger_Inventory[[#This Row],[Age]]*Lookups!$B$16</f>
        <v>-10988.5483</v>
      </c>
      <c r="BM58" s="8">
        <f>Granger_Inventory[[#This Row],[living_area]]*Lookups!$B$17</f>
        <v>44400.119939999997</v>
      </c>
      <c r="BN58" s="8">
        <f>(Granger_Inventory[[#This Row],[att_gar]]+Granger_Inventory[[#This Row],[blt_gar]])*Lookups!$B$18</f>
        <v>0</v>
      </c>
      <c r="BO58" s="8">
        <f>Granger_Inventory[[#This Row],[Patio]]*Lookups!$B$19</f>
        <v>1303.562304</v>
      </c>
      <c r="BP58" s="8">
        <f>SUM(Granger_Inventory[[#This Row],[Intercept]:[Patio_Value]])*Granger_Inventory[[#This Row],[res_pct]]</f>
        <v>47218.539406754142</v>
      </c>
      <c r="BQ58" s="8">
        <f>Granger_Inventory[[#This Row],[land_value]]</f>
        <v>21427.618862498482</v>
      </c>
      <c r="BR58" s="4">
        <f>_xlfn.IFNA(VLOOKUP(Granger_Inventory[[#This Row],[quality]],Lookups!$A$25:$C$35,3,FALSE),1)</f>
        <v>0.77695375541795109</v>
      </c>
      <c r="BS58" s="4">
        <f>_xlfn.IFNA(VLOOKUP(Granger_Inventory[[#This Row],[condition]],Lookups!$A$38:$C$45,3,FALSE),1)</f>
        <v>0.85322907131620684</v>
      </c>
      <c r="BT58" s="4">
        <f>IF(Granger_Inventory[[#This Row],[decade]]="",1,_xlfn.IFNA(VLOOKUP(Granger_Inventory[[#This Row],[decade]],Lookups!$G$28:$I$42,3,FALSE),1))</f>
        <v>0.86581421791274704</v>
      </c>
      <c r="BU58" s="4">
        <f>_xlfn.IFNA(VLOOKUP(Granger_Inventory[[#This Row],[living_area_range]],Lookups!$A$48:$C$57,3,FALSE),1)</f>
        <v>0.81272404900450645</v>
      </c>
      <c r="BV58" s="4">
        <f>AVERAGE(Granger_Inventory[[#This Row],[qual_adj]:[living_range_adj]])</f>
        <v>0.82718027341285283</v>
      </c>
      <c r="BW58" s="8">
        <f>(Granger_Inventory[[#This Row],[sum_land]]-IF(Granger_Inventory[[#This Row],[no_utilities]]=1,12000,0))/IF(Granger_Inventory[[#This Row],[unbuildable]]=1,2,1)</f>
        <v>21427.618862498482</v>
      </c>
      <c r="BX58" s="8">
        <f>Granger_Inventory[[#This Row],[pre_res]]*Granger_Inventory[[#This Row],[overall_adj]]</f>
        <v>39058.24433663446</v>
      </c>
      <c r="BY5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8">
        <f>ROUND(Granger_Inventory[[#This Row],[detatched_value]]*Lookups!$I$45,-2)</f>
        <v>0</v>
      </c>
      <c r="CA58">
        <f>IF(ROUND(Granger_Inventory[[#This Row],[adj_res]]*Lookups!$I$45,-2)&lt;Granger_Inventory[[#This Row],[min_res]],Granger_Inventory[[#This Row],[min_res]],ROUND(Granger_Inventory[[#This Row],[adj_res]]*Lookups!$I$45,-2))</f>
        <v>37100</v>
      </c>
      <c r="CB58">
        <f>Granger_Inventory[[#This Row],[final_det]]+Granger_Inventory[[#This Row],[final_res]]</f>
        <v>37100</v>
      </c>
      <c r="CC58">
        <f>Granger_Inventory[[#This Row],[final_land]]+Granger_Inventory[[#This Row],[final_imp]]+Granger_Inventory[[#This Row],[crop_value]]</f>
        <v>57500</v>
      </c>
      <c r="CE58" t="str">
        <f t="shared" si="0"/>
        <v>update valuation set market_land =20400, market_bldg=37100, market_total =57500, market_mdno =402, market_date ='9/10/2023' where link_id = (select link_id from parcel where parcel_year = '2024' and parcel_id = '21101533408');</v>
      </c>
    </row>
    <row r="59" spans="1:83" x14ac:dyDescent="0.25">
      <c r="A59">
        <v>21101533409</v>
      </c>
      <c r="B59">
        <v>0.18</v>
      </c>
      <c r="C59">
        <v>8021</v>
      </c>
      <c r="D59" t="s">
        <v>137</v>
      </c>
      <c r="E59" t="s">
        <v>54</v>
      </c>
      <c r="F59" t="s">
        <v>54</v>
      </c>
      <c r="G59">
        <v>3</v>
      </c>
      <c r="H59" t="s">
        <v>55</v>
      </c>
      <c r="I59">
        <v>41700</v>
      </c>
      <c r="J59">
        <v>25600</v>
      </c>
      <c r="K59">
        <v>0.18</v>
      </c>
      <c r="L59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9">
        <v>0</v>
      </c>
      <c r="N59">
        <v>0</v>
      </c>
      <c r="O59">
        <v>0</v>
      </c>
      <c r="P59">
        <v>47108.068500000001</v>
      </c>
      <c r="Q59">
        <v>122298</v>
      </c>
      <c r="R59">
        <f>(Granger_Inventory[[#This Row],[ln_acres]]*Granger_Inventory[[#This Row],[coeff]])+Granger_Inventory[[#This Row],[const]]</f>
        <v>41517.1581857532</v>
      </c>
      <c r="S59" t="s">
        <v>69</v>
      </c>
      <c r="T59">
        <v>1</v>
      </c>
      <c r="U59" t="s">
        <v>78</v>
      </c>
      <c r="V59" t="s">
        <v>79</v>
      </c>
      <c r="W59">
        <v>0</v>
      </c>
      <c r="X59">
        <v>0</v>
      </c>
      <c r="Y59">
        <v>51</v>
      </c>
      <c r="Z59">
        <v>82</v>
      </c>
      <c r="AA59">
        <v>90</v>
      </c>
      <c r="AB59">
        <v>1000</v>
      </c>
      <c r="AC59">
        <v>864</v>
      </c>
      <c r="AD59">
        <v>864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5</v>
      </c>
      <c r="AQ59">
        <v>0</v>
      </c>
      <c r="AR59">
        <v>0</v>
      </c>
      <c r="AS59" t="s">
        <v>59</v>
      </c>
      <c r="AT59">
        <v>1</v>
      </c>
      <c r="AU59" t="s">
        <v>68</v>
      </c>
      <c r="AV59" t="s">
        <v>65</v>
      </c>
      <c r="AW59">
        <v>0</v>
      </c>
      <c r="AX59">
        <v>2</v>
      </c>
      <c r="AY59">
        <v>0</v>
      </c>
      <c r="AZ59">
        <v>700</v>
      </c>
      <c r="BA59">
        <v>100</v>
      </c>
      <c r="BB59">
        <v>100</v>
      </c>
      <c r="BC59">
        <v>100</v>
      </c>
      <c r="BD59">
        <v>100</v>
      </c>
      <c r="BE59">
        <v>1</v>
      </c>
      <c r="BF59">
        <v>15000</v>
      </c>
      <c r="BG59">
        <v>1000</v>
      </c>
      <c r="BH59" s="8">
        <f>Granger_Inventory[[#This Row],[land_extract]]*Lookups!$B$3</f>
        <v>24733.049859725303</v>
      </c>
      <c r="BI59" s="8">
        <f>IF(Granger_Inventory[[#This Row],[bldg_style]]="",0,Lookups!$B$2)</f>
        <v>29703.559000000001</v>
      </c>
      <c r="BJ59" s="8">
        <f>_xlfn.IFNA(VLOOKUP(Granger_Inventory[[#This Row],[quality]],Lookups!$H$2:$J$14,3,FALSE),0)</f>
        <v>23737.786340274597</v>
      </c>
      <c r="BK59" s="8">
        <f>_xlfn.IFNA(VLOOKUP(Granger_Inventory[[#This Row],[condition]],Lookups!$H$17:$J$24,3,FALSE),0)</f>
        <v>86727</v>
      </c>
      <c r="BL59" s="8">
        <f>Granger_Inventory[[#This Row],[Age]]*Lookups!$B$16</f>
        <v>-17001.1502</v>
      </c>
      <c r="BM59" s="8">
        <f>Granger_Inventory[[#This Row],[living_area]]*Lookups!$B$17</f>
        <v>58123.793376000001</v>
      </c>
      <c r="BN59" s="8">
        <f>(Granger_Inventory[[#This Row],[att_gar]]+Granger_Inventory[[#This Row],[blt_gar]])*Lookups!$B$18</f>
        <v>0</v>
      </c>
      <c r="BO59" s="8">
        <f>Granger_Inventory[[#This Row],[Patio]]*Lookups!$B$19</f>
        <v>0</v>
      </c>
      <c r="BP59" s="8">
        <f>SUM(Granger_Inventory[[#This Row],[Intercept]:[Patio_Value]])*Granger_Inventory[[#This Row],[res_pct]]</f>
        <v>181290.98851627461</v>
      </c>
      <c r="BQ59" s="8">
        <f>Granger_Inventory[[#This Row],[land_value]]</f>
        <v>24733.049859725303</v>
      </c>
      <c r="BR59" s="4">
        <f>_xlfn.IFNA(VLOOKUP(Granger_Inventory[[#This Row],[quality]],Lookups!$A$25:$C$35,3,FALSE),1)</f>
        <v>0.77695375541795109</v>
      </c>
      <c r="BS59" s="4">
        <f>_xlfn.IFNA(VLOOKUP(Granger_Inventory[[#This Row],[condition]],Lookups!$A$38:$C$45,3,FALSE),1)</f>
        <v>0.85322907131620684</v>
      </c>
      <c r="BT59" s="4">
        <f>IF(Granger_Inventory[[#This Row],[decade]]="",1,_xlfn.IFNA(VLOOKUP(Granger_Inventory[[#This Row],[decade]],Lookups!$G$28:$I$42,3,FALSE),1))</f>
        <v>0.95234610137492615</v>
      </c>
      <c r="BU59" s="4">
        <f>_xlfn.IFNA(VLOOKUP(Granger_Inventory[[#This Row],[living_area_range]],Lookups!$A$48:$C$57,3,FALSE),1)</f>
        <v>0.81272404900450645</v>
      </c>
      <c r="BV59" s="4">
        <f>AVERAGE(Granger_Inventory[[#This Row],[qual_adj]:[living_range_adj]])</f>
        <v>0.84881324427839766</v>
      </c>
      <c r="BW59" s="8">
        <f>(Granger_Inventory[[#This Row],[sum_land]]-IF(Granger_Inventory[[#This Row],[no_utilities]]=1,12000,0))/IF(Granger_Inventory[[#This Row],[unbuildable]]=1,2,1)</f>
        <v>24733.049859725303</v>
      </c>
      <c r="BX59" s="8">
        <f>Granger_Inventory[[#This Row],[pre_res]]*Granger_Inventory[[#This Row],[overall_adj]]</f>
        <v>153882.19212093679</v>
      </c>
      <c r="BY59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9">
        <f>ROUND(Granger_Inventory[[#This Row],[detatched_value]]*Lookups!$I$45,-2)</f>
        <v>700</v>
      </c>
      <c r="CA59">
        <f>IF(ROUND(Granger_Inventory[[#This Row],[adj_res]]*Lookups!$I$45,-2)&lt;Granger_Inventory[[#This Row],[min_res]],Granger_Inventory[[#This Row],[min_res]],ROUND(Granger_Inventory[[#This Row],[adj_res]]*Lookups!$I$45,-2))</f>
        <v>146200</v>
      </c>
      <c r="CB59">
        <f>Granger_Inventory[[#This Row],[final_det]]+Granger_Inventory[[#This Row],[final_res]]</f>
        <v>146900</v>
      </c>
      <c r="CC59">
        <f>Granger_Inventory[[#This Row],[final_land]]+Granger_Inventory[[#This Row],[final_imp]]+Granger_Inventory[[#This Row],[crop_value]]</f>
        <v>170400</v>
      </c>
      <c r="CE59" t="str">
        <f t="shared" si="0"/>
        <v>update valuation set market_land =23500, market_bldg=146900, market_total =170400, market_mdno =402, market_date ='9/10/2023' where link_id = (select link_id from parcel where parcel_year = '2024' and parcel_id = '21101533409');</v>
      </c>
    </row>
    <row r="60" spans="1:83" x14ac:dyDescent="0.25">
      <c r="A60">
        <v>21101533410</v>
      </c>
      <c r="B60">
        <v>0.16</v>
      </c>
      <c r="C60">
        <v>6951</v>
      </c>
      <c r="D60" t="s">
        <v>137</v>
      </c>
      <c r="E60" t="s">
        <v>54</v>
      </c>
      <c r="F60" t="s">
        <v>54</v>
      </c>
      <c r="G60">
        <v>3</v>
      </c>
      <c r="H60" t="s">
        <v>55</v>
      </c>
      <c r="I60">
        <v>172200</v>
      </c>
      <c r="J60">
        <v>25000</v>
      </c>
      <c r="K60">
        <v>0.16</v>
      </c>
      <c r="L6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0">
        <v>0</v>
      </c>
      <c r="N60">
        <v>0</v>
      </c>
      <c r="O60">
        <v>0</v>
      </c>
      <c r="P60">
        <v>47108.068500000001</v>
      </c>
      <c r="Q60">
        <v>122298</v>
      </c>
      <c r="R60">
        <f>(Granger_Inventory[[#This Row],[ln_acres]]*Granger_Inventory[[#This Row],[coeff]])+Granger_Inventory[[#This Row],[const]]</f>
        <v>35968.626873914327</v>
      </c>
      <c r="S60" t="s">
        <v>62</v>
      </c>
      <c r="T60">
        <v>2</v>
      </c>
      <c r="U60" t="s">
        <v>71</v>
      </c>
      <c r="V60" t="s">
        <v>77</v>
      </c>
      <c r="W60">
        <v>0</v>
      </c>
      <c r="X60">
        <v>0</v>
      </c>
      <c r="Y60">
        <v>51</v>
      </c>
      <c r="Z60">
        <v>78</v>
      </c>
      <c r="AA60">
        <v>80</v>
      </c>
      <c r="AB60">
        <v>2000</v>
      </c>
      <c r="AC60">
        <v>1541</v>
      </c>
      <c r="AD60">
        <v>1041</v>
      </c>
      <c r="AE60">
        <v>500</v>
      </c>
      <c r="AF60">
        <v>0</v>
      </c>
      <c r="AG60">
        <v>0</v>
      </c>
      <c r="AH60">
        <v>868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7</v>
      </c>
      <c r="AQ60">
        <v>0</v>
      </c>
      <c r="AR60">
        <v>0</v>
      </c>
      <c r="AS60" t="s">
        <v>59</v>
      </c>
      <c r="AT60">
        <v>1</v>
      </c>
      <c r="AU60" t="s">
        <v>60</v>
      </c>
      <c r="AV60" t="s">
        <v>61</v>
      </c>
      <c r="AW60">
        <v>1</v>
      </c>
      <c r="AX60">
        <v>4</v>
      </c>
      <c r="AY60">
        <v>0</v>
      </c>
      <c r="AZ60">
        <v>8900</v>
      </c>
      <c r="BA60">
        <v>100</v>
      </c>
      <c r="BB60">
        <v>100</v>
      </c>
      <c r="BC60">
        <v>100</v>
      </c>
      <c r="BD60">
        <v>100</v>
      </c>
      <c r="BE60">
        <v>1</v>
      </c>
      <c r="BF60">
        <v>15000</v>
      </c>
      <c r="BG60">
        <v>1000</v>
      </c>
      <c r="BH60" s="8">
        <f>Granger_Inventory[[#This Row],[land_extract]]*Lookups!$B$3</f>
        <v>21427.618862498482</v>
      </c>
      <c r="BI60" s="8">
        <f>IF(Granger_Inventory[[#This Row],[bldg_style]]="",0,Lookups!$B$2)</f>
        <v>29703.559000000001</v>
      </c>
      <c r="BJ60" s="8">
        <f>_xlfn.IFNA(VLOOKUP(Granger_Inventory[[#This Row],[quality]],Lookups!$H$2:$J$14,3,FALSE),0)</f>
        <v>34195</v>
      </c>
      <c r="BK60" s="8">
        <f>_xlfn.IFNA(VLOOKUP(Granger_Inventory[[#This Row],[condition]],Lookups!$H$17:$J$24,3,FALSE),0)</f>
        <v>33736</v>
      </c>
      <c r="BL60" s="8">
        <f>Granger_Inventory[[#This Row],[Age]]*Lookups!$B$16</f>
        <v>-16171.825799999999</v>
      </c>
      <c r="BM60" s="8">
        <f>Granger_Inventory[[#This Row],[living_area]]*Lookups!$B$17</f>
        <v>103667.552769</v>
      </c>
      <c r="BN60" s="8">
        <f>(Granger_Inventory[[#This Row],[att_gar]]+Granger_Inventory[[#This Row],[blt_gar]])*Lookups!$B$18</f>
        <v>0</v>
      </c>
      <c r="BO60" s="8">
        <f>Granger_Inventory[[#This Row],[Patio]]*Lookups!$B$19</f>
        <v>0</v>
      </c>
      <c r="BP60" s="8">
        <f>SUM(Granger_Inventory[[#This Row],[Intercept]:[Patio_Value]])*Granger_Inventory[[#This Row],[res_pct]]</f>
        <v>185130.28596900002</v>
      </c>
      <c r="BQ60" s="8">
        <f>Granger_Inventory[[#This Row],[land_value]]</f>
        <v>21427.618862498482</v>
      </c>
      <c r="BR60" s="4">
        <f>_xlfn.IFNA(VLOOKUP(Granger_Inventory[[#This Row],[quality]],Lookups!$A$25:$C$35,3,FALSE),1)</f>
        <v>0.98258795897788032</v>
      </c>
      <c r="BS60" s="4">
        <f>_xlfn.IFNA(VLOOKUP(Granger_Inventory[[#This Row],[condition]],Lookups!$A$38:$C$45,3,FALSE),1)</f>
        <v>0.92294678898076177</v>
      </c>
      <c r="BT60" s="4">
        <f>IF(Granger_Inventory[[#This Row],[decade]]="",1,_xlfn.IFNA(VLOOKUP(Granger_Inventory[[#This Row],[decade]],Lookups!$G$28:$I$42,3,FALSE),1))</f>
        <v>0.76006056002554967</v>
      </c>
      <c r="BU60" s="4">
        <f>_xlfn.IFNA(VLOOKUP(Granger_Inventory[[#This Row],[living_area_range]],Lookups!$A$48:$C$57,3,FALSE),1)</f>
        <v>0.97860968051050168</v>
      </c>
      <c r="BV60" s="4">
        <f>AVERAGE(Granger_Inventory[[#This Row],[qual_adj]:[living_range_adj]])</f>
        <v>0.91105124712367336</v>
      </c>
      <c r="BW60" s="8">
        <f>(Granger_Inventory[[#This Row],[sum_land]]-IF(Granger_Inventory[[#This Row],[no_utilities]]=1,12000,0))/IF(Granger_Inventory[[#This Row],[unbuildable]]=1,2,1)</f>
        <v>21427.618862498482</v>
      </c>
      <c r="BX60" s="8">
        <f>Granger_Inventory[[#This Row],[pre_res]]*Granger_Inventory[[#This Row],[overall_adj]]</f>
        <v>168663.17791241975</v>
      </c>
      <c r="BY6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0">
        <f>ROUND(Granger_Inventory[[#This Row],[detatched_value]]*Lookups!$I$45,-2)</f>
        <v>8500</v>
      </c>
      <c r="CA60">
        <f>IF(ROUND(Granger_Inventory[[#This Row],[adj_res]]*Lookups!$I$45,-2)&lt;Granger_Inventory[[#This Row],[min_res]],Granger_Inventory[[#This Row],[min_res]],ROUND(Granger_Inventory[[#This Row],[adj_res]]*Lookups!$I$45,-2))</f>
        <v>160200</v>
      </c>
      <c r="CB60">
        <f>Granger_Inventory[[#This Row],[final_det]]+Granger_Inventory[[#This Row],[final_res]]</f>
        <v>168700</v>
      </c>
      <c r="CC60">
        <f>Granger_Inventory[[#This Row],[final_land]]+Granger_Inventory[[#This Row],[final_imp]]+Granger_Inventory[[#This Row],[crop_value]]</f>
        <v>189100</v>
      </c>
      <c r="CE60" t="str">
        <f t="shared" si="0"/>
        <v>update valuation set market_land =20400, market_bldg=168700, market_total =189100, market_mdno =402, market_date ='9/10/2023' where link_id = (select link_id from parcel where parcel_year = '2024' and parcel_id = '21101533410');</v>
      </c>
    </row>
    <row r="61" spans="1:83" x14ac:dyDescent="0.25">
      <c r="A61">
        <v>21101533414</v>
      </c>
      <c r="B61">
        <v>0.17</v>
      </c>
      <c r="C61">
        <v>7531</v>
      </c>
      <c r="D61" t="s">
        <v>137</v>
      </c>
      <c r="E61" t="s">
        <v>54</v>
      </c>
      <c r="F61" t="s">
        <v>54</v>
      </c>
      <c r="G61">
        <v>3</v>
      </c>
      <c r="H61" t="s">
        <v>55</v>
      </c>
      <c r="I61">
        <v>45300</v>
      </c>
      <c r="J61">
        <v>25300</v>
      </c>
      <c r="K61">
        <v>0.17</v>
      </c>
      <c r="L61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61">
        <v>0</v>
      </c>
      <c r="N61">
        <v>0</v>
      </c>
      <c r="O61">
        <v>0</v>
      </c>
      <c r="P61">
        <v>47108.068500000001</v>
      </c>
      <c r="Q61">
        <v>122298</v>
      </c>
      <c r="R61">
        <f>(Granger_Inventory[[#This Row],[ln_acres]]*Granger_Inventory[[#This Row],[coeff]])+Granger_Inventory[[#This Row],[const]]</f>
        <v>38824.535711229546</v>
      </c>
      <c r="S61" t="s">
        <v>69</v>
      </c>
      <c r="T61">
        <v>1</v>
      </c>
      <c r="U61" t="s">
        <v>106</v>
      </c>
      <c r="V61" t="s">
        <v>79</v>
      </c>
      <c r="W61">
        <v>0</v>
      </c>
      <c r="X61">
        <v>0</v>
      </c>
      <c r="Y61">
        <v>51</v>
      </c>
      <c r="Z61">
        <v>82</v>
      </c>
      <c r="AA61">
        <v>90</v>
      </c>
      <c r="AB61">
        <v>1000</v>
      </c>
      <c r="AC61">
        <v>720</v>
      </c>
      <c r="AD61">
        <v>720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5</v>
      </c>
      <c r="AQ61">
        <v>0</v>
      </c>
      <c r="AR61">
        <v>0</v>
      </c>
      <c r="AS61" t="s">
        <v>59</v>
      </c>
      <c r="AT61">
        <v>1</v>
      </c>
      <c r="AU61" t="s">
        <v>76</v>
      </c>
      <c r="AV61" t="s">
        <v>65</v>
      </c>
      <c r="AW61">
        <v>0</v>
      </c>
      <c r="AX61">
        <v>3</v>
      </c>
      <c r="AY61">
        <v>0</v>
      </c>
      <c r="AZ61">
        <v>0</v>
      </c>
      <c r="BA61">
        <v>100</v>
      </c>
      <c r="BB61">
        <v>100</v>
      </c>
      <c r="BC61">
        <v>100</v>
      </c>
      <c r="BD61">
        <v>100</v>
      </c>
      <c r="BE61">
        <v>1</v>
      </c>
      <c r="BF61">
        <v>15000</v>
      </c>
      <c r="BG61">
        <v>1000</v>
      </c>
      <c r="BH61" s="8">
        <f>Granger_Inventory[[#This Row],[land_extract]]*Lookups!$B$3</f>
        <v>23128.971718879347</v>
      </c>
      <c r="BI61" s="8">
        <f>IF(Granger_Inventory[[#This Row],[bldg_style]]="",0,Lookups!$B$2)</f>
        <v>29703.559000000001</v>
      </c>
      <c r="BJ61" s="8">
        <f>_xlfn.IFNA(VLOOKUP(Granger_Inventory[[#This Row],[quality]],Lookups!$H$2:$J$14,3,FALSE),0)</f>
        <v>17985.540667792327</v>
      </c>
      <c r="BK61" s="8">
        <f>_xlfn.IFNA(VLOOKUP(Granger_Inventory[[#This Row],[condition]],Lookups!$H$17:$J$24,3,FALSE),0)</f>
        <v>86727</v>
      </c>
      <c r="BL61" s="8">
        <f>Granger_Inventory[[#This Row],[Age]]*Lookups!$B$16</f>
        <v>-17001.1502</v>
      </c>
      <c r="BM61" s="8">
        <f>Granger_Inventory[[#This Row],[living_area]]*Lookups!$B$17</f>
        <v>48436.494480000001</v>
      </c>
      <c r="BN61" s="8">
        <f>(Granger_Inventory[[#This Row],[att_gar]]+Granger_Inventory[[#This Row],[blt_gar]])*Lookups!$B$18</f>
        <v>0</v>
      </c>
      <c r="BO61" s="8">
        <f>Granger_Inventory[[#This Row],[Patio]]*Lookups!$B$19</f>
        <v>0</v>
      </c>
      <c r="BP61" s="8">
        <f>SUM(Granger_Inventory[[#This Row],[Intercept]:[Patio_Value]])*Granger_Inventory[[#This Row],[res_pct]]</f>
        <v>165851.44394779232</v>
      </c>
      <c r="BQ61" s="8">
        <f>Granger_Inventory[[#This Row],[land_value]]</f>
        <v>23128.971718879347</v>
      </c>
      <c r="BR61" s="4">
        <f>_xlfn.IFNA(VLOOKUP(Granger_Inventory[[#This Row],[quality]],Lookups!$A$25:$C$35,3,FALSE),1)</f>
        <v>0.77695375541795109</v>
      </c>
      <c r="BS61" s="4">
        <f>_xlfn.IFNA(VLOOKUP(Granger_Inventory[[#This Row],[condition]],Lookups!$A$38:$C$45,3,FALSE),1)</f>
        <v>0.85322907131620684</v>
      </c>
      <c r="BT61" s="4">
        <f>IF(Granger_Inventory[[#This Row],[decade]]="",1,_xlfn.IFNA(VLOOKUP(Granger_Inventory[[#This Row],[decade]],Lookups!$G$28:$I$42,3,FALSE),1))</f>
        <v>0.95234610137492615</v>
      </c>
      <c r="BU61" s="4">
        <f>_xlfn.IFNA(VLOOKUP(Granger_Inventory[[#This Row],[living_area_range]],Lookups!$A$48:$C$57,3,FALSE),1)</f>
        <v>0.81272404900450645</v>
      </c>
      <c r="BV61" s="4">
        <f>AVERAGE(Granger_Inventory[[#This Row],[qual_adj]:[living_range_adj]])</f>
        <v>0.84881324427839766</v>
      </c>
      <c r="BW61" s="8">
        <f>(Granger_Inventory[[#This Row],[sum_land]]-IF(Granger_Inventory[[#This Row],[no_utilities]]=1,12000,0))/IF(Granger_Inventory[[#This Row],[unbuildable]]=1,2,1)</f>
        <v>23128.971718879347</v>
      </c>
      <c r="BX61" s="8">
        <f>Granger_Inventory[[#This Row],[pre_res]]*Granger_Inventory[[#This Row],[overall_adj]]</f>
        <v>140776.90220558242</v>
      </c>
      <c r="BY61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61">
        <f>ROUND(Granger_Inventory[[#This Row],[detatched_value]]*Lookups!$I$45,-2)</f>
        <v>0</v>
      </c>
      <c r="CA61">
        <f>IF(ROUND(Granger_Inventory[[#This Row],[adj_res]]*Lookups!$I$45,-2)&lt;Granger_Inventory[[#This Row],[min_res]],Granger_Inventory[[#This Row],[min_res]],ROUND(Granger_Inventory[[#This Row],[adj_res]]*Lookups!$I$45,-2))</f>
        <v>133700</v>
      </c>
      <c r="CB61">
        <f>Granger_Inventory[[#This Row],[final_det]]+Granger_Inventory[[#This Row],[final_res]]</f>
        <v>133700</v>
      </c>
      <c r="CC61">
        <f>Granger_Inventory[[#This Row],[final_land]]+Granger_Inventory[[#This Row],[final_imp]]+Granger_Inventory[[#This Row],[crop_value]]</f>
        <v>155700</v>
      </c>
      <c r="CE61" t="str">
        <f t="shared" si="0"/>
        <v>update valuation set market_land =22000, market_bldg=133700, market_total =155700, market_mdno =402, market_date ='9/10/2023' where link_id = (select link_id from parcel where parcel_year = '2024' and parcel_id = '21101533414');</v>
      </c>
    </row>
    <row r="62" spans="1:83" x14ac:dyDescent="0.25">
      <c r="A62">
        <v>21101533417</v>
      </c>
      <c r="B62">
        <v>0.2</v>
      </c>
      <c r="C62">
        <v>8548</v>
      </c>
      <c r="D62" t="s">
        <v>137</v>
      </c>
      <c r="E62" t="s">
        <v>54</v>
      </c>
      <c r="F62" t="s">
        <v>54</v>
      </c>
      <c r="G62">
        <v>3</v>
      </c>
      <c r="H62" t="s">
        <v>55</v>
      </c>
      <c r="I62">
        <v>126700</v>
      </c>
      <c r="J62">
        <v>26200</v>
      </c>
      <c r="K62">
        <v>0.2</v>
      </c>
      <c r="L62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62">
        <v>0</v>
      </c>
      <c r="N62">
        <v>0</v>
      </c>
      <c r="O62">
        <v>0</v>
      </c>
      <c r="P62">
        <v>47108.068500000001</v>
      </c>
      <c r="Q62">
        <v>122298</v>
      </c>
      <c r="R62">
        <f>(Granger_Inventory[[#This Row],[ln_acres]]*Granger_Inventory[[#This Row],[coeff]])+Granger_Inventory[[#This Row],[const]]</f>
        <v>46480.488574557399</v>
      </c>
      <c r="S62" t="s">
        <v>56</v>
      </c>
      <c r="T62">
        <v>1</v>
      </c>
      <c r="U62" t="s">
        <v>64</v>
      </c>
      <c r="V62" t="s">
        <v>77</v>
      </c>
      <c r="W62">
        <v>0</v>
      </c>
      <c r="X62">
        <v>0</v>
      </c>
      <c r="Y62">
        <v>43</v>
      </c>
      <c r="Z62">
        <v>44</v>
      </c>
      <c r="AA62">
        <v>50</v>
      </c>
      <c r="AB62">
        <v>1500</v>
      </c>
      <c r="AC62">
        <v>1116</v>
      </c>
      <c r="AD62">
        <v>1116</v>
      </c>
      <c r="AE62">
        <v>0</v>
      </c>
      <c r="AF62">
        <v>0</v>
      </c>
      <c r="AG62">
        <v>0</v>
      </c>
      <c r="AH62">
        <v>0</v>
      </c>
      <c r="AI62">
        <v>252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5</v>
      </c>
      <c r="AQ62">
        <v>0</v>
      </c>
      <c r="AR62">
        <v>0</v>
      </c>
      <c r="AS62" t="s">
        <v>59</v>
      </c>
      <c r="AT62">
        <v>1</v>
      </c>
      <c r="AU62" t="s">
        <v>60</v>
      </c>
      <c r="AV62" t="s">
        <v>65</v>
      </c>
      <c r="AW62">
        <v>0</v>
      </c>
      <c r="AX62">
        <v>3</v>
      </c>
      <c r="AY62">
        <v>0</v>
      </c>
      <c r="AZ62">
        <v>0</v>
      </c>
      <c r="BA62">
        <v>100</v>
      </c>
      <c r="BB62">
        <v>100</v>
      </c>
      <c r="BC62">
        <v>100</v>
      </c>
      <c r="BD62">
        <v>100</v>
      </c>
      <c r="BE62">
        <v>1</v>
      </c>
      <c r="BF62">
        <v>15000</v>
      </c>
      <c r="BG62">
        <v>1000</v>
      </c>
      <c r="BH62" s="8">
        <f>Granger_Inventory[[#This Row],[land_extract]]*Lookups!$B$3</f>
        <v>27689.858642911939</v>
      </c>
      <c r="BI62" s="8">
        <f>IF(Granger_Inventory[[#This Row],[bldg_style]]="",0,Lookups!$B$2)</f>
        <v>29703.559000000001</v>
      </c>
      <c r="BJ62" s="8">
        <f>_xlfn.IFNA(VLOOKUP(Granger_Inventory[[#This Row],[quality]],Lookups!$H$2:$J$14,3,FALSE),0)</f>
        <v>36568</v>
      </c>
      <c r="BK62" s="8">
        <f>_xlfn.IFNA(VLOOKUP(Granger_Inventory[[#This Row],[condition]],Lookups!$H$17:$J$24,3,FALSE),0)</f>
        <v>33736</v>
      </c>
      <c r="BL62" s="8">
        <f>Granger_Inventory[[#This Row],[Age]]*Lookups!$B$16</f>
        <v>-9122.5684000000001</v>
      </c>
      <c r="BM62" s="8">
        <f>Granger_Inventory[[#This Row],[living_area]]*Lookups!$B$17</f>
        <v>75076.566443999996</v>
      </c>
      <c r="BN62" s="8">
        <f>(Granger_Inventory[[#This Row],[att_gar]]+Granger_Inventory[[#This Row],[blt_gar]])*Lookups!$B$18</f>
        <v>12208.791671999999</v>
      </c>
      <c r="BO62" s="8">
        <f>Granger_Inventory[[#This Row],[Patio]]*Lookups!$B$19</f>
        <v>0</v>
      </c>
      <c r="BP62" s="8">
        <f>SUM(Granger_Inventory[[#This Row],[Intercept]:[Patio_Value]])*Granger_Inventory[[#This Row],[res_pct]]</f>
        <v>178170.34871600001</v>
      </c>
      <c r="BQ62" s="8">
        <f>Granger_Inventory[[#This Row],[land_value]]</f>
        <v>27689.858642911939</v>
      </c>
      <c r="BR62" s="4">
        <f>_xlfn.IFNA(VLOOKUP(Granger_Inventory[[#This Row],[quality]],Lookups!$A$25:$C$35,3,FALSE),1)</f>
        <v>0.99049976351917957</v>
      </c>
      <c r="BS62" s="4">
        <f>_xlfn.IFNA(VLOOKUP(Granger_Inventory[[#This Row],[condition]],Lookups!$A$38:$C$45,3,FALSE),1)</f>
        <v>0.92294678898076177</v>
      </c>
      <c r="BT62" s="4">
        <f>IF(Granger_Inventory[[#This Row],[decade]]="",1,_xlfn.IFNA(VLOOKUP(Granger_Inventory[[#This Row],[decade]],Lookups!$G$28:$I$42,3,FALSE),1))</f>
        <v>1.2441094871772171</v>
      </c>
      <c r="BU62" s="4">
        <f>_xlfn.IFNA(VLOOKUP(Granger_Inventory[[#This Row],[living_area_range]],Lookups!$A$48:$C$57,3,FALSE),1)</f>
        <v>0.97960506760539345</v>
      </c>
      <c r="BV62" s="4">
        <f>AVERAGE(Granger_Inventory[[#This Row],[qual_adj]:[living_range_adj]])</f>
        <v>1.0342902768206379</v>
      </c>
      <c r="BW62" s="8">
        <f>(Granger_Inventory[[#This Row],[sum_land]]-IF(Granger_Inventory[[#This Row],[no_utilities]]=1,12000,0))/IF(Granger_Inventory[[#This Row],[unbuildable]]=1,2,1)</f>
        <v>27689.858642911939</v>
      </c>
      <c r="BX62" s="8">
        <f>Granger_Inventory[[#This Row],[pre_res]]*Granger_Inventory[[#This Row],[overall_adj]]</f>
        <v>184279.85929470122</v>
      </c>
      <c r="BY62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62">
        <f>ROUND(Granger_Inventory[[#This Row],[detatched_value]]*Lookups!$I$45,-2)</f>
        <v>0</v>
      </c>
      <c r="CA62">
        <f>IF(ROUND(Granger_Inventory[[#This Row],[adj_res]]*Lookups!$I$45,-2)&lt;Granger_Inventory[[#This Row],[min_res]],Granger_Inventory[[#This Row],[min_res]],ROUND(Granger_Inventory[[#This Row],[adj_res]]*Lookups!$I$45,-2))</f>
        <v>175100</v>
      </c>
      <c r="CB62">
        <f>Granger_Inventory[[#This Row],[final_det]]+Granger_Inventory[[#This Row],[final_res]]</f>
        <v>175100</v>
      </c>
      <c r="CC62">
        <f>Granger_Inventory[[#This Row],[final_land]]+Granger_Inventory[[#This Row],[final_imp]]+Granger_Inventory[[#This Row],[crop_value]]</f>
        <v>201400</v>
      </c>
      <c r="CE62" t="str">
        <f t="shared" si="0"/>
        <v>update valuation set market_land =26300, market_bldg=175100, market_total =201400, market_mdno =402, market_date ='9/10/2023' where link_id = (select link_id from parcel where parcel_year = '2024' and parcel_id = '21101533417');</v>
      </c>
    </row>
    <row r="63" spans="1:83" x14ac:dyDescent="0.25">
      <c r="A63">
        <v>21101533422</v>
      </c>
      <c r="B63">
        <v>0.71</v>
      </c>
      <c r="C63">
        <v>30756</v>
      </c>
      <c r="D63" t="s">
        <v>137</v>
      </c>
      <c r="E63" t="s">
        <v>54</v>
      </c>
      <c r="F63" t="s">
        <v>54</v>
      </c>
      <c r="G63">
        <v>3</v>
      </c>
      <c r="H63" t="s">
        <v>55</v>
      </c>
      <c r="I63">
        <v>171500</v>
      </c>
      <c r="J63">
        <v>33200</v>
      </c>
      <c r="K63">
        <v>0.71</v>
      </c>
      <c r="L63">
        <f>IF(Granger_Inventory[[#This Row],[parcel_acres]]-Granger_Inventory[[#This Row],[non_valued_acres]] =0,0,LN(Granger_Inventory[[#This Row],[parcel_acres]]-Granger_Inventory[[#This Row],[non_valued_acres]]))</f>
        <v>-0.34249030894677601</v>
      </c>
      <c r="M63">
        <v>0</v>
      </c>
      <c r="N63">
        <v>0</v>
      </c>
      <c r="O63">
        <v>0</v>
      </c>
      <c r="P63">
        <v>47108.068500000001</v>
      </c>
      <c r="Q63">
        <v>122298</v>
      </c>
      <c r="R63">
        <f>(Granger_Inventory[[#This Row],[ln_acres]]*Granger_Inventory[[#This Row],[coeff]])+Granger_Inventory[[#This Row],[const]]</f>
        <v>106163.94306554912</v>
      </c>
      <c r="S63" t="s">
        <v>69</v>
      </c>
      <c r="T63">
        <v>1</v>
      </c>
      <c r="U63" t="s">
        <v>64</v>
      </c>
      <c r="V63" t="s">
        <v>77</v>
      </c>
      <c r="W63">
        <v>0</v>
      </c>
      <c r="X63">
        <v>0</v>
      </c>
      <c r="Y63">
        <v>49</v>
      </c>
      <c r="Z63">
        <v>66</v>
      </c>
      <c r="AA63">
        <v>70</v>
      </c>
      <c r="AB63">
        <v>2000</v>
      </c>
      <c r="AC63">
        <v>1762</v>
      </c>
      <c r="AD63">
        <v>1762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5</v>
      </c>
      <c r="AQ63">
        <v>0</v>
      </c>
      <c r="AR63">
        <v>0</v>
      </c>
      <c r="AS63" t="s">
        <v>59</v>
      </c>
      <c r="AT63">
        <v>1</v>
      </c>
      <c r="AU63" t="s">
        <v>60</v>
      </c>
      <c r="AV63" t="s">
        <v>61</v>
      </c>
      <c r="AW63">
        <v>1</v>
      </c>
      <c r="AX63">
        <v>3</v>
      </c>
      <c r="AY63">
        <v>0</v>
      </c>
      <c r="AZ63">
        <v>13200</v>
      </c>
      <c r="BA63">
        <v>100</v>
      </c>
      <c r="BB63">
        <v>100</v>
      </c>
      <c r="BC63">
        <v>100</v>
      </c>
      <c r="BD63">
        <v>100</v>
      </c>
      <c r="BE63">
        <v>1</v>
      </c>
      <c r="BF63">
        <v>15000</v>
      </c>
      <c r="BG63">
        <v>1000</v>
      </c>
      <c r="BH63" s="8">
        <f>Granger_Inventory[[#This Row],[land_extract]]*Lookups!$B$3</f>
        <v>63245.130733594029</v>
      </c>
      <c r="BI63" s="8">
        <f>IF(Granger_Inventory[[#This Row],[bldg_style]]="",0,Lookups!$B$2)</f>
        <v>29703.559000000001</v>
      </c>
      <c r="BJ63" s="8">
        <f>_xlfn.IFNA(VLOOKUP(Granger_Inventory[[#This Row],[quality]],Lookups!$H$2:$J$14,3,FALSE),0)</f>
        <v>36568</v>
      </c>
      <c r="BK63" s="8">
        <f>_xlfn.IFNA(VLOOKUP(Granger_Inventory[[#This Row],[condition]],Lookups!$H$17:$J$24,3,FALSE),0)</f>
        <v>33736</v>
      </c>
      <c r="BL63" s="8">
        <f>Granger_Inventory[[#This Row],[Age]]*Lookups!$B$16</f>
        <v>-13683.8526</v>
      </c>
      <c r="BM63" s="8">
        <f>Granger_Inventory[[#This Row],[living_area]]*Lookups!$B$17</f>
        <v>118534.865658</v>
      </c>
      <c r="BN63" s="8">
        <f>(Granger_Inventory[[#This Row],[att_gar]]+Granger_Inventory[[#This Row],[blt_gar]])*Lookups!$B$18</f>
        <v>0</v>
      </c>
      <c r="BO63" s="8">
        <f>Granger_Inventory[[#This Row],[Patio]]*Lookups!$B$19</f>
        <v>0</v>
      </c>
      <c r="BP63" s="8">
        <f>SUM(Granger_Inventory[[#This Row],[Intercept]:[Patio_Value]])*Granger_Inventory[[#This Row],[res_pct]]</f>
        <v>204858.57205800002</v>
      </c>
      <c r="BQ63" s="8">
        <f>Granger_Inventory[[#This Row],[land_value]]</f>
        <v>63245.130733594029</v>
      </c>
      <c r="BR63" s="4">
        <f>_xlfn.IFNA(VLOOKUP(Granger_Inventory[[#This Row],[quality]],Lookups!$A$25:$C$35,3,FALSE),1)</f>
        <v>0.99049976351917957</v>
      </c>
      <c r="BS63" s="4">
        <f>_xlfn.IFNA(VLOOKUP(Granger_Inventory[[#This Row],[condition]],Lookups!$A$38:$C$45,3,FALSE),1)</f>
        <v>0.92294678898076177</v>
      </c>
      <c r="BT63" s="4">
        <f>IF(Granger_Inventory[[#This Row],[decade]]="",1,_xlfn.IFNA(VLOOKUP(Granger_Inventory[[#This Row],[decade]],Lookups!$G$28:$I$42,3,FALSE),1))</f>
        <v>1.0270382440255921</v>
      </c>
      <c r="BU63" s="4">
        <f>_xlfn.IFNA(VLOOKUP(Granger_Inventory[[#This Row],[living_area_range]],Lookups!$A$48:$C$57,3,FALSE),1)</f>
        <v>0.97860968051050168</v>
      </c>
      <c r="BV63" s="4">
        <f>AVERAGE(Granger_Inventory[[#This Row],[qual_adj]:[living_range_adj]])</f>
        <v>0.97977361925900874</v>
      </c>
      <c r="BW63" s="8">
        <f>(Granger_Inventory[[#This Row],[sum_land]]-IF(Granger_Inventory[[#This Row],[no_utilities]]=1,12000,0))/IF(Granger_Inventory[[#This Row],[unbuildable]]=1,2,1)</f>
        <v>63245.130733594029</v>
      </c>
      <c r="BX63" s="8">
        <f>Granger_Inventory[[#This Row],[pre_res]]*Granger_Inventory[[#This Row],[overall_adj]]</f>
        <v>200715.02458149911</v>
      </c>
      <c r="BY63">
        <f>IF(ROUND(Granger_Inventory[[#This Row],[adj_land]]*Lookups!$I$45,-2)&lt;Granger_Inventory[[#This Row],[min_land]],Granger_Inventory[[#This Row],[min_land]],ROUND(Granger_Inventory[[#This Row],[adj_land]]*Lookups!$I$45,-2))</f>
        <v>60100</v>
      </c>
      <c r="BZ63">
        <f>ROUND(Granger_Inventory[[#This Row],[detatched_value]]*Lookups!$I$45,-2)</f>
        <v>12500</v>
      </c>
      <c r="CA63">
        <f>IF(ROUND(Granger_Inventory[[#This Row],[adj_res]]*Lookups!$I$45,-2)&lt;Granger_Inventory[[#This Row],[min_res]],Granger_Inventory[[#This Row],[min_res]],ROUND(Granger_Inventory[[#This Row],[adj_res]]*Lookups!$I$45,-2))</f>
        <v>190700</v>
      </c>
      <c r="CB63">
        <f>Granger_Inventory[[#This Row],[final_det]]+Granger_Inventory[[#This Row],[final_res]]</f>
        <v>203200</v>
      </c>
      <c r="CC63">
        <f>Granger_Inventory[[#This Row],[final_land]]+Granger_Inventory[[#This Row],[final_imp]]+Granger_Inventory[[#This Row],[crop_value]]</f>
        <v>263300</v>
      </c>
      <c r="CE63" t="str">
        <f t="shared" si="0"/>
        <v>update valuation set market_land =60100, market_bldg=203200, market_total =263300, market_mdno =402, market_date ='9/10/2023' where link_id = (select link_id from parcel where parcel_year = '2024' and parcel_id = '21101533422');</v>
      </c>
    </row>
    <row r="64" spans="1:83" x14ac:dyDescent="0.25">
      <c r="A64">
        <v>21101533423</v>
      </c>
      <c r="B64">
        <v>0.54</v>
      </c>
      <c r="C64">
        <v>23662</v>
      </c>
      <c r="D64" t="s">
        <v>137</v>
      </c>
      <c r="E64" t="s">
        <v>54</v>
      </c>
      <c r="F64" t="s">
        <v>54</v>
      </c>
      <c r="G64">
        <v>3</v>
      </c>
      <c r="H64" t="s">
        <v>55</v>
      </c>
      <c r="I64">
        <v>314700</v>
      </c>
      <c r="J64">
        <v>31700</v>
      </c>
      <c r="K64">
        <v>0.54</v>
      </c>
      <c r="L64">
        <f>IF(Granger_Inventory[[#This Row],[parcel_acres]]-Granger_Inventory[[#This Row],[non_valued_acres]] =0,0,LN(Granger_Inventory[[#This Row],[parcel_acres]]-Granger_Inventory[[#This Row],[non_valued_acres]]))</f>
        <v>-0.61618613942381695</v>
      </c>
      <c r="M64">
        <v>0</v>
      </c>
      <c r="N64">
        <v>0</v>
      </c>
      <c r="O64">
        <v>0</v>
      </c>
      <c r="P64">
        <v>47108.068500000001</v>
      </c>
      <c r="Q64">
        <v>122298</v>
      </c>
      <c r="R64">
        <f>(Granger_Inventory[[#This Row],[ln_acres]]*Granger_Inventory[[#This Row],[coeff]])+Granger_Inventory[[#This Row],[const]]</f>
        <v>93270.661135272283</v>
      </c>
      <c r="S64" t="s">
        <v>59</v>
      </c>
      <c r="T64">
        <v>1</v>
      </c>
      <c r="U64" t="s">
        <v>61</v>
      </c>
      <c r="V64" t="s">
        <v>58</v>
      </c>
      <c r="W64">
        <v>0</v>
      </c>
      <c r="X64">
        <v>0</v>
      </c>
      <c r="Y64">
        <v>7</v>
      </c>
      <c r="Z64">
        <v>7</v>
      </c>
      <c r="AA64">
        <v>10</v>
      </c>
      <c r="AB64">
        <v>2000</v>
      </c>
      <c r="AC64">
        <v>1604</v>
      </c>
      <c r="AD64">
        <v>1604</v>
      </c>
      <c r="AE64">
        <v>0</v>
      </c>
      <c r="AF64">
        <v>0</v>
      </c>
      <c r="AG64">
        <v>0</v>
      </c>
      <c r="AH64">
        <v>0</v>
      </c>
      <c r="AI64">
        <v>462</v>
      </c>
      <c r="AJ64">
        <v>0</v>
      </c>
      <c r="AK64">
        <v>0</v>
      </c>
      <c r="AL64">
        <v>0</v>
      </c>
      <c r="AM64">
        <v>0</v>
      </c>
      <c r="AN64">
        <v>246</v>
      </c>
      <c r="AO64">
        <v>0</v>
      </c>
      <c r="AP64">
        <v>10</v>
      </c>
      <c r="AQ64">
        <v>0</v>
      </c>
      <c r="AR64">
        <v>0</v>
      </c>
      <c r="AS64" t="s">
        <v>59</v>
      </c>
      <c r="AT64">
        <v>1</v>
      </c>
      <c r="AU64" t="s">
        <v>63</v>
      </c>
      <c r="AV64" t="s">
        <v>65</v>
      </c>
      <c r="AW64">
        <v>1</v>
      </c>
      <c r="AX64">
        <v>3</v>
      </c>
      <c r="AY64">
        <v>0</v>
      </c>
      <c r="AZ64">
        <v>0</v>
      </c>
      <c r="BA64">
        <v>100</v>
      </c>
      <c r="BB64">
        <v>100</v>
      </c>
      <c r="BC64">
        <v>100</v>
      </c>
      <c r="BD64">
        <v>100</v>
      </c>
      <c r="BE64">
        <v>1</v>
      </c>
      <c r="BF64">
        <v>15000</v>
      </c>
      <c r="BG64">
        <v>1000</v>
      </c>
      <c r="BH64" s="8">
        <f>Granger_Inventory[[#This Row],[land_extract]]*Lookups!$B$3</f>
        <v>55564.205574644664</v>
      </c>
      <c r="BI64" s="8">
        <f>IF(Granger_Inventory[[#This Row],[bldg_style]]="",0,Lookups!$B$2)</f>
        <v>29703.559000000001</v>
      </c>
      <c r="BJ64" s="8">
        <f>_xlfn.IFNA(VLOOKUP(Granger_Inventory[[#This Row],[quality]],Lookups!$H$2:$J$14,3,FALSE),0)</f>
        <v>71767</v>
      </c>
      <c r="BK64" s="8">
        <f>_xlfn.IFNA(VLOOKUP(Granger_Inventory[[#This Row],[condition]],Lookups!$H$17:$J$24,3,FALSE),0)</f>
        <v>101774</v>
      </c>
      <c r="BL64" s="8">
        <f>Granger_Inventory[[#This Row],[Age]]*Lookups!$B$16</f>
        <v>-1451.3177000000001</v>
      </c>
      <c r="BM64" s="8">
        <f>Granger_Inventory[[#This Row],[living_area]]*Lookups!$B$17</f>
        <v>107905.746036</v>
      </c>
      <c r="BN64" s="8">
        <f>(Granger_Inventory[[#This Row],[att_gar]]+Granger_Inventory[[#This Row],[blt_gar]])*Lookups!$B$18</f>
        <v>22382.784732</v>
      </c>
      <c r="BO64" s="8">
        <f>Granger_Inventory[[#This Row],[Patio]]*Lookups!$B$19</f>
        <v>0</v>
      </c>
      <c r="BP64" s="8">
        <f>SUM(Granger_Inventory[[#This Row],[Intercept]:[Patio_Value]])*Granger_Inventory[[#This Row],[res_pct]]</f>
        <v>332081.77206799993</v>
      </c>
      <c r="BQ64" s="8">
        <f>Granger_Inventory[[#This Row],[land_value]]</f>
        <v>55564.205574644664</v>
      </c>
      <c r="BR64" s="4">
        <f>_xlfn.IFNA(VLOOKUP(Granger_Inventory[[#This Row],[quality]],Lookups!$A$25:$C$35,3,FALSE),1)</f>
        <v>0.992092799099482</v>
      </c>
      <c r="BS64" s="4">
        <f>_xlfn.IFNA(VLOOKUP(Granger_Inventory[[#This Row],[condition]],Lookups!$A$38:$C$45,3,FALSE),1)</f>
        <v>0.99135053432734199</v>
      </c>
      <c r="BT64" s="4">
        <f>IF(Granger_Inventory[[#This Row],[decade]]="",1,_xlfn.IFNA(VLOOKUP(Granger_Inventory[[#This Row],[decade]],Lookups!$G$28:$I$42,3,FALSE),1))</f>
        <v>0.95532362136731586</v>
      </c>
      <c r="BU64" s="4">
        <f>_xlfn.IFNA(VLOOKUP(Granger_Inventory[[#This Row],[living_area_range]],Lookups!$A$48:$C$57,3,FALSE),1)</f>
        <v>0.97860968051050168</v>
      </c>
      <c r="BV64" s="4">
        <f>AVERAGE(Granger_Inventory[[#This Row],[qual_adj]:[living_range_adj]])</f>
        <v>0.97934415882616044</v>
      </c>
      <c r="BW64" s="8">
        <f>(Granger_Inventory[[#This Row],[sum_land]]-IF(Granger_Inventory[[#This Row],[no_utilities]]=1,12000,0))/IF(Granger_Inventory[[#This Row],[unbuildable]]=1,2,1)</f>
        <v>55564.205574644664</v>
      </c>
      <c r="BX64" s="8">
        <f>Granger_Inventory[[#This Row],[pre_res]]*Granger_Inventory[[#This Row],[overall_adj]]</f>
        <v>325222.34372743615</v>
      </c>
      <c r="BY64">
        <f>IF(ROUND(Granger_Inventory[[#This Row],[adj_land]]*Lookups!$I$45,-2)&lt;Granger_Inventory[[#This Row],[min_land]],Granger_Inventory[[#This Row],[min_land]],ROUND(Granger_Inventory[[#This Row],[adj_land]]*Lookups!$I$45,-2))</f>
        <v>52800</v>
      </c>
      <c r="BZ64">
        <f>ROUND(Granger_Inventory[[#This Row],[detatched_value]]*Lookups!$I$45,-2)</f>
        <v>0</v>
      </c>
      <c r="CA64">
        <f>IF(ROUND(Granger_Inventory[[#This Row],[adj_res]]*Lookups!$I$45,-2)&lt;Granger_Inventory[[#This Row],[min_res]],Granger_Inventory[[#This Row],[min_res]],ROUND(Granger_Inventory[[#This Row],[adj_res]]*Lookups!$I$45,-2))</f>
        <v>309000</v>
      </c>
      <c r="CB64">
        <f>Granger_Inventory[[#This Row],[final_det]]+Granger_Inventory[[#This Row],[final_res]]</f>
        <v>309000</v>
      </c>
      <c r="CC64">
        <f>Granger_Inventory[[#This Row],[final_land]]+Granger_Inventory[[#This Row],[final_imp]]+Granger_Inventory[[#This Row],[crop_value]]</f>
        <v>361800</v>
      </c>
      <c r="CE64" t="str">
        <f t="shared" si="0"/>
        <v>update valuation set market_land =52800, market_bldg=309000, market_total =361800, market_mdno =402, market_date ='9/10/2023' where link_id = (select link_id from parcel where parcel_year = '2024' and parcel_id = '21101533423');</v>
      </c>
    </row>
    <row r="65" spans="1:83" x14ac:dyDescent="0.25">
      <c r="A65">
        <v>21101533424</v>
      </c>
      <c r="B65">
        <v>0.64</v>
      </c>
      <c r="C65">
        <v>27891</v>
      </c>
      <c r="D65" t="s">
        <v>137</v>
      </c>
      <c r="E65" t="s">
        <v>54</v>
      </c>
      <c r="F65" t="s">
        <v>54</v>
      </c>
      <c r="G65">
        <v>3</v>
      </c>
      <c r="H65" t="s">
        <v>55</v>
      </c>
      <c r="I65">
        <v>325300</v>
      </c>
      <c r="J65">
        <v>32700</v>
      </c>
      <c r="K65">
        <v>0.64</v>
      </c>
      <c r="L65">
        <f>IF(Granger_Inventory[[#This Row],[parcel_acres]]-Granger_Inventory[[#This Row],[non_valued_acres]] =0,0,LN(Granger_Inventory[[#This Row],[parcel_acres]]-Granger_Inventory[[#This Row],[non_valued_acres]]))</f>
        <v>-0.44628710262841947</v>
      </c>
      <c r="M65">
        <v>0</v>
      </c>
      <c r="N65">
        <v>0</v>
      </c>
      <c r="O65">
        <v>0</v>
      </c>
      <c r="P65">
        <v>47108.068500000001</v>
      </c>
      <c r="Q65">
        <v>122298</v>
      </c>
      <c r="R65">
        <f>(Granger_Inventory[[#This Row],[ln_acres]]*Granger_Inventory[[#This Row],[coeff]])+Granger_Inventory[[#This Row],[const]]</f>
        <v>101274.27659871388</v>
      </c>
      <c r="S65" t="s">
        <v>56</v>
      </c>
      <c r="T65">
        <v>1</v>
      </c>
      <c r="U65" t="s">
        <v>61</v>
      </c>
      <c r="V65" t="s">
        <v>58</v>
      </c>
      <c r="W65">
        <v>0</v>
      </c>
      <c r="X65">
        <v>0</v>
      </c>
      <c r="Y65">
        <v>3</v>
      </c>
      <c r="Z65">
        <v>3</v>
      </c>
      <c r="AA65">
        <v>10</v>
      </c>
      <c r="AB65">
        <v>2000</v>
      </c>
      <c r="AC65">
        <v>1967</v>
      </c>
      <c r="AD65">
        <v>1967</v>
      </c>
      <c r="AE65">
        <v>0</v>
      </c>
      <c r="AF65">
        <v>0</v>
      </c>
      <c r="AG65">
        <v>0</v>
      </c>
      <c r="AH65">
        <v>0</v>
      </c>
      <c r="AI65">
        <v>528</v>
      </c>
      <c r="AJ65">
        <v>0</v>
      </c>
      <c r="AK65">
        <v>0</v>
      </c>
      <c r="AL65">
        <v>0</v>
      </c>
      <c r="AM65">
        <v>0</v>
      </c>
      <c r="AN65">
        <v>651</v>
      </c>
      <c r="AO65">
        <v>0</v>
      </c>
      <c r="AP65">
        <v>10</v>
      </c>
      <c r="AQ65">
        <v>0</v>
      </c>
      <c r="AR65">
        <v>0</v>
      </c>
      <c r="AS65" t="s">
        <v>59</v>
      </c>
      <c r="AT65">
        <v>1</v>
      </c>
      <c r="AU65" t="s">
        <v>60</v>
      </c>
      <c r="AV65" t="s">
        <v>65</v>
      </c>
      <c r="AW65">
        <v>0</v>
      </c>
      <c r="AX65">
        <v>3</v>
      </c>
      <c r="AY65">
        <v>0</v>
      </c>
      <c r="AZ65">
        <v>4600</v>
      </c>
      <c r="BA65">
        <v>100</v>
      </c>
      <c r="BB65">
        <v>100</v>
      </c>
      <c r="BC65">
        <v>100</v>
      </c>
      <c r="BD65">
        <v>100</v>
      </c>
      <c r="BE65">
        <v>1</v>
      </c>
      <c r="BF65">
        <v>15000</v>
      </c>
      <c r="BG65">
        <v>1000</v>
      </c>
      <c r="BH65" s="8">
        <f>Granger_Inventory[[#This Row],[land_extract]]*Lookups!$B$3</f>
        <v>60332.2058175731</v>
      </c>
      <c r="BI65" s="8">
        <f>IF(Granger_Inventory[[#This Row],[bldg_style]]="",0,Lookups!$B$2)</f>
        <v>29703.559000000001</v>
      </c>
      <c r="BJ65" s="8">
        <f>_xlfn.IFNA(VLOOKUP(Granger_Inventory[[#This Row],[quality]],Lookups!$H$2:$J$14,3,FALSE),0)</f>
        <v>71767</v>
      </c>
      <c r="BK65" s="8">
        <f>_xlfn.IFNA(VLOOKUP(Granger_Inventory[[#This Row],[condition]],Lookups!$H$17:$J$24,3,FALSE),0)</f>
        <v>101774</v>
      </c>
      <c r="BL65" s="8">
        <f>Granger_Inventory[[#This Row],[Age]]*Lookups!$B$16</f>
        <v>-621.99329999999998</v>
      </c>
      <c r="BM65" s="8">
        <f>Granger_Inventory[[#This Row],[living_area]]*Lookups!$B$17</f>
        <v>132325.812003</v>
      </c>
      <c r="BN65" s="8">
        <f>(Granger_Inventory[[#This Row],[att_gar]]+Granger_Inventory[[#This Row],[blt_gar]])*Lookups!$B$18</f>
        <v>25580.325408000001</v>
      </c>
      <c r="BO65" s="8">
        <f>Granger_Inventory[[#This Row],[Patio]]*Lookups!$B$19</f>
        <v>0</v>
      </c>
      <c r="BP65" s="8">
        <f>SUM(Granger_Inventory[[#This Row],[Intercept]:[Patio_Value]])*Granger_Inventory[[#This Row],[res_pct]]</f>
        <v>360528.70311099995</v>
      </c>
      <c r="BQ65" s="8">
        <f>Granger_Inventory[[#This Row],[land_value]]</f>
        <v>60332.2058175731</v>
      </c>
      <c r="BR65" s="4">
        <f>_xlfn.IFNA(VLOOKUP(Granger_Inventory[[#This Row],[quality]],Lookups!$A$25:$C$35,3,FALSE),1)</f>
        <v>0.992092799099482</v>
      </c>
      <c r="BS65" s="4">
        <f>_xlfn.IFNA(VLOOKUP(Granger_Inventory[[#This Row],[condition]],Lookups!$A$38:$C$45,3,FALSE),1)</f>
        <v>0.99135053432734199</v>
      </c>
      <c r="BT65" s="4">
        <f>IF(Granger_Inventory[[#This Row],[decade]]="",1,_xlfn.IFNA(VLOOKUP(Granger_Inventory[[#This Row],[decade]],Lookups!$G$28:$I$42,3,FALSE),1))</f>
        <v>0.95532362136731586</v>
      </c>
      <c r="BU65" s="4">
        <f>_xlfn.IFNA(VLOOKUP(Granger_Inventory[[#This Row],[living_area_range]],Lookups!$A$48:$C$57,3,FALSE),1)</f>
        <v>0.97860968051050168</v>
      </c>
      <c r="BV65" s="4">
        <f>AVERAGE(Granger_Inventory[[#This Row],[qual_adj]:[living_range_adj]])</f>
        <v>0.97934415882616044</v>
      </c>
      <c r="BW65" s="8">
        <f>(Granger_Inventory[[#This Row],[sum_land]]-IF(Granger_Inventory[[#This Row],[no_utilities]]=1,12000,0))/IF(Granger_Inventory[[#This Row],[unbuildable]]=1,2,1)</f>
        <v>60332.2058175731</v>
      </c>
      <c r="BX65" s="8">
        <f>Granger_Inventory[[#This Row],[pre_res]]*Granger_Inventory[[#This Row],[overall_adj]]</f>
        <v>353081.67948092875</v>
      </c>
      <c r="BY65">
        <f>IF(ROUND(Granger_Inventory[[#This Row],[adj_land]]*Lookups!$I$45,-2)&lt;Granger_Inventory[[#This Row],[min_land]],Granger_Inventory[[#This Row],[min_land]],ROUND(Granger_Inventory[[#This Row],[adj_land]]*Lookups!$I$45,-2))</f>
        <v>57300</v>
      </c>
      <c r="BZ65">
        <f>ROUND(Granger_Inventory[[#This Row],[detatched_value]]*Lookups!$I$45,-2)</f>
        <v>4400</v>
      </c>
      <c r="CA65">
        <f>IF(ROUND(Granger_Inventory[[#This Row],[adj_res]]*Lookups!$I$45,-2)&lt;Granger_Inventory[[#This Row],[min_res]],Granger_Inventory[[#This Row],[min_res]],ROUND(Granger_Inventory[[#This Row],[adj_res]]*Lookups!$I$45,-2))</f>
        <v>335400</v>
      </c>
      <c r="CB65">
        <f>Granger_Inventory[[#This Row],[final_det]]+Granger_Inventory[[#This Row],[final_res]]</f>
        <v>339800</v>
      </c>
      <c r="CC65">
        <f>Granger_Inventory[[#This Row],[final_land]]+Granger_Inventory[[#This Row],[final_imp]]+Granger_Inventory[[#This Row],[crop_value]]</f>
        <v>397100</v>
      </c>
      <c r="CE65" t="str">
        <f t="shared" si="0"/>
        <v>update valuation set market_land =57300, market_bldg=339800, market_total =397100, market_mdno =402, market_date ='9/10/2023' where link_id = (select link_id from parcel where parcel_year = '2024' and parcel_id = '21101533424');</v>
      </c>
    </row>
    <row r="66" spans="1:83" x14ac:dyDescent="0.25">
      <c r="A66">
        <v>21101533425</v>
      </c>
      <c r="B66">
        <v>0.97</v>
      </c>
      <c r="C66">
        <v>42092</v>
      </c>
      <c r="D66" t="s">
        <v>137</v>
      </c>
      <c r="E66" t="s">
        <v>54</v>
      </c>
      <c r="F66" t="s">
        <v>54</v>
      </c>
      <c r="G66">
        <v>3</v>
      </c>
      <c r="H66" t="s">
        <v>55</v>
      </c>
      <c r="I66">
        <v>54600</v>
      </c>
      <c r="J66">
        <v>35000</v>
      </c>
      <c r="K66">
        <v>0.97</v>
      </c>
      <c r="L66">
        <f>IF(Granger_Inventory[[#This Row],[parcel_acres]]-Granger_Inventory[[#This Row],[non_valued_acres]] =0,0,LN(Granger_Inventory[[#This Row],[parcel_acres]]-Granger_Inventory[[#This Row],[non_valued_acres]]))</f>
        <v>-3.0459207484708574E-2</v>
      </c>
      <c r="M66">
        <v>0</v>
      </c>
      <c r="N66">
        <v>0</v>
      </c>
      <c r="O66">
        <v>0</v>
      </c>
      <c r="P66">
        <v>47108.068500000001</v>
      </c>
      <c r="Q66">
        <v>122298</v>
      </c>
      <c r="R66">
        <f>(Granger_Inventory[[#This Row],[ln_acres]]*Granger_Inventory[[#This Row],[coeff]])+Granger_Inventory[[#This Row],[const]]</f>
        <v>120863.12556735464</v>
      </c>
      <c r="S66" t="s">
        <v>69</v>
      </c>
      <c r="T66">
        <v>1</v>
      </c>
      <c r="U66" t="s">
        <v>78</v>
      </c>
      <c r="V66" t="s">
        <v>79</v>
      </c>
      <c r="W66">
        <v>0</v>
      </c>
      <c r="X66">
        <v>0</v>
      </c>
      <c r="Y66">
        <v>49</v>
      </c>
      <c r="Z66">
        <v>69</v>
      </c>
      <c r="AA66">
        <v>70</v>
      </c>
      <c r="AB66">
        <v>1500</v>
      </c>
      <c r="AC66">
        <v>1075</v>
      </c>
      <c r="AD66">
        <v>1075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234</v>
      </c>
      <c r="AL66">
        <v>0</v>
      </c>
      <c r="AM66">
        <v>150</v>
      </c>
      <c r="AN66">
        <v>40</v>
      </c>
      <c r="AO66">
        <v>150</v>
      </c>
      <c r="AP66">
        <v>5</v>
      </c>
      <c r="AQ66">
        <v>0</v>
      </c>
      <c r="AR66">
        <v>0</v>
      </c>
      <c r="AS66" t="s">
        <v>139</v>
      </c>
      <c r="AT66">
        <v>0</v>
      </c>
      <c r="AU66" t="s">
        <v>83</v>
      </c>
      <c r="AV66" t="s">
        <v>144</v>
      </c>
      <c r="AW66">
        <v>0</v>
      </c>
      <c r="AX66">
        <v>2</v>
      </c>
      <c r="AY66">
        <v>0</v>
      </c>
      <c r="AZ66">
        <v>0</v>
      </c>
      <c r="BA66">
        <v>100</v>
      </c>
      <c r="BB66">
        <v>100</v>
      </c>
      <c r="BC66">
        <v>100</v>
      </c>
      <c r="BD66">
        <v>100</v>
      </c>
      <c r="BE66">
        <v>1</v>
      </c>
      <c r="BF66">
        <v>15000</v>
      </c>
      <c r="BG66">
        <v>1000</v>
      </c>
      <c r="BH66" s="8">
        <f>Granger_Inventory[[#This Row],[land_extract]]*Lookups!$B$3</f>
        <v>72001.886484740637</v>
      </c>
      <c r="BI66" s="8">
        <f>IF(Granger_Inventory[[#This Row],[bldg_style]]="",0,Lookups!$B$2)</f>
        <v>29703.559000000001</v>
      </c>
      <c r="BJ66" s="8">
        <f>_xlfn.IFNA(VLOOKUP(Granger_Inventory[[#This Row],[quality]],Lookups!$H$2:$J$14,3,FALSE),0)</f>
        <v>23737.786340274597</v>
      </c>
      <c r="BK66" s="8">
        <f>_xlfn.IFNA(VLOOKUP(Granger_Inventory[[#This Row],[condition]],Lookups!$H$17:$J$24,3,FALSE),0)</f>
        <v>86727</v>
      </c>
      <c r="BL66" s="8">
        <f>Granger_Inventory[[#This Row],[Age]]*Lookups!$B$16</f>
        <v>-14305.8459</v>
      </c>
      <c r="BM66" s="8">
        <f>Granger_Inventory[[#This Row],[living_area]]*Lookups!$B$17</f>
        <v>72318.377175000001</v>
      </c>
      <c r="BN66" s="8">
        <f>(Granger_Inventory[[#This Row],[att_gar]]+Granger_Inventory[[#This Row],[blt_gar]])*Lookups!$B$18</f>
        <v>0</v>
      </c>
      <c r="BO66" s="8">
        <f>Granger_Inventory[[#This Row],[Patio]]*Lookups!$B$19</f>
        <v>8147.2643999999991</v>
      </c>
      <c r="BP66" s="8">
        <f>SUM(Granger_Inventory[[#This Row],[Intercept]:[Patio_Value]])*Granger_Inventory[[#This Row],[res_pct]]</f>
        <v>206328.14101527457</v>
      </c>
      <c r="BQ66" s="8">
        <f>Granger_Inventory[[#This Row],[land_value]]</f>
        <v>72001.886484740637</v>
      </c>
      <c r="BR66" s="4">
        <f>_xlfn.IFNA(VLOOKUP(Granger_Inventory[[#This Row],[quality]],Lookups!$A$25:$C$35,3,FALSE),1)</f>
        <v>0.77695375541795109</v>
      </c>
      <c r="BS66" s="4">
        <f>_xlfn.IFNA(VLOOKUP(Granger_Inventory[[#This Row],[condition]],Lookups!$A$38:$C$45,3,FALSE),1)</f>
        <v>0.85322907131620684</v>
      </c>
      <c r="BT66" s="4">
        <f>IF(Granger_Inventory[[#This Row],[decade]]="",1,_xlfn.IFNA(VLOOKUP(Granger_Inventory[[#This Row],[decade]],Lookups!$G$28:$I$42,3,FALSE),1))</f>
        <v>1.0270382440255921</v>
      </c>
      <c r="BU66" s="4">
        <f>_xlfn.IFNA(VLOOKUP(Granger_Inventory[[#This Row],[living_area_range]],Lookups!$A$48:$C$57,3,FALSE),1)</f>
        <v>0.97960506760539345</v>
      </c>
      <c r="BV66" s="4">
        <f>AVERAGE(Granger_Inventory[[#This Row],[qual_adj]:[living_range_adj]])</f>
        <v>0.90920653459128586</v>
      </c>
      <c r="BW66" s="8">
        <f>(Granger_Inventory[[#This Row],[sum_land]]-IF(Granger_Inventory[[#This Row],[no_utilities]]=1,12000,0))/IF(Granger_Inventory[[#This Row],[unbuildable]]=1,2,1)</f>
        <v>72001.886484740637</v>
      </c>
      <c r="BX66" s="8">
        <f>Granger_Inventory[[#This Row],[pre_res]]*Granger_Inventory[[#This Row],[overall_adj]]</f>
        <v>187594.89408115993</v>
      </c>
      <c r="BY66">
        <f>IF(ROUND(Granger_Inventory[[#This Row],[adj_land]]*Lookups!$I$45,-2)&lt;Granger_Inventory[[#This Row],[min_land]],Granger_Inventory[[#This Row],[min_land]],ROUND(Granger_Inventory[[#This Row],[adj_land]]*Lookups!$I$45,-2))</f>
        <v>68400</v>
      </c>
      <c r="BZ66">
        <f>ROUND(Granger_Inventory[[#This Row],[detatched_value]]*Lookups!$I$45,-2)</f>
        <v>0</v>
      </c>
      <c r="CA66">
        <f>IF(ROUND(Granger_Inventory[[#This Row],[adj_res]]*Lookups!$I$45,-2)&lt;Granger_Inventory[[#This Row],[min_res]],Granger_Inventory[[#This Row],[min_res]],ROUND(Granger_Inventory[[#This Row],[adj_res]]*Lookups!$I$45,-2))</f>
        <v>178200</v>
      </c>
      <c r="CB66">
        <f>Granger_Inventory[[#This Row],[final_det]]+Granger_Inventory[[#This Row],[final_res]]</f>
        <v>178200</v>
      </c>
      <c r="CC66">
        <f>Granger_Inventory[[#This Row],[final_land]]+Granger_Inventory[[#This Row],[final_imp]]+Granger_Inventory[[#This Row],[crop_value]]</f>
        <v>246600</v>
      </c>
      <c r="CE66" t="str">
        <f t="shared" ref="CE66:CE129" si="1">"update valuation set market_land ="&amp;BY66&amp;", market_bldg="&amp;CB66&amp;", market_total ="&amp;CC66&amp;", market_mdno ="&amp;$CE$1&amp;", market_date ='"&amp;TEXT($CF$1,"m/d/yyyy")&amp;"' where link_id = (select link_id from parcel where parcel_year = '2024' and parcel_id = '"&amp;A66&amp;"');"</f>
        <v>update valuation set market_land =68400, market_bldg=178200, market_total =246600, market_mdno =402, market_date ='9/10/2023' where link_id = (select link_id from parcel where parcel_year = '2024' and parcel_id = '21101533425');</v>
      </c>
    </row>
    <row r="67" spans="1:83" x14ac:dyDescent="0.25">
      <c r="A67">
        <v>21101533430</v>
      </c>
      <c r="B67">
        <v>0.24</v>
      </c>
      <c r="C67">
        <v>10649</v>
      </c>
      <c r="D67" t="s">
        <v>137</v>
      </c>
      <c r="E67" t="s">
        <v>54</v>
      </c>
      <c r="F67" t="s">
        <v>54</v>
      </c>
      <c r="G67">
        <v>3</v>
      </c>
      <c r="H67" t="s">
        <v>55</v>
      </c>
      <c r="I67">
        <v>72100</v>
      </c>
      <c r="J67">
        <v>27200</v>
      </c>
      <c r="K67">
        <v>0.24</v>
      </c>
      <c r="L67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67">
        <v>0</v>
      </c>
      <c r="N67">
        <v>0</v>
      </c>
      <c r="O67">
        <v>0</v>
      </c>
      <c r="P67">
        <v>47108.068500000001</v>
      </c>
      <c r="Q67">
        <v>122298</v>
      </c>
      <c r="R67">
        <f>(Granger_Inventory[[#This Row],[ln_acres]]*Granger_Inventory[[#This Row],[coeff]])+Granger_Inventory[[#This Row],[const]]</f>
        <v>55069.304961033646</v>
      </c>
      <c r="S67" t="s">
        <v>66</v>
      </c>
      <c r="T67">
        <v>1</v>
      </c>
      <c r="U67" t="s">
        <v>78</v>
      </c>
      <c r="V67" t="s">
        <v>77</v>
      </c>
      <c r="W67">
        <v>0</v>
      </c>
      <c r="X67">
        <v>0</v>
      </c>
      <c r="Y67">
        <v>52</v>
      </c>
      <c r="Z67">
        <v>89</v>
      </c>
      <c r="AA67">
        <v>90</v>
      </c>
      <c r="AB67">
        <v>1500</v>
      </c>
      <c r="AC67">
        <v>1066</v>
      </c>
      <c r="AD67">
        <v>1066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146</v>
      </c>
      <c r="AM67">
        <v>0</v>
      </c>
      <c r="AN67">
        <v>0</v>
      </c>
      <c r="AO67">
        <v>0</v>
      </c>
      <c r="AP67">
        <v>5</v>
      </c>
      <c r="AQ67">
        <v>0</v>
      </c>
      <c r="AR67">
        <v>0</v>
      </c>
      <c r="AS67" t="s">
        <v>59</v>
      </c>
      <c r="AT67">
        <v>1</v>
      </c>
      <c r="AU67" t="s">
        <v>76</v>
      </c>
      <c r="AV67" t="s">
        <v>61</v>
      </c>
      <c r="AW67">
        <v>0</v>
      </c>
      <c r="AX67">
        <v>2</v>
      </c>
      <c r="AY67">
        <v>0</v>
      </c>
      <c r="AZ67">
        <v>0</v>
      </c>
      <c r="BA67">
        <v>100</v>
      </c>
      <c r="BB67">
        <v>100</v>
      </c>
      <c r="BC67">
        <v>100</v>
      </c>
      <c r="BD67">
        <v>100</v>
      </c>
      <c r="BE67">
        <v>1</v>
      </c>
      <c r="BF67">
        <v>15000</v>
      </c>
      <c r="BG67">
        <v>1000</v>
      </c>
      <c r="BH67" s="8">
        <f>Granger_Inventory[[#This Row],[land_extract]]*Lookups!$B$3</f>
        <v>32806.481099880541</v>
      </c>
      <c r="BI67" s="8">
        <f>IF(Granger_Inventory[[#This Row],[bldg_style]]="",0,Lookups!$B$2)</f>
        <v>29703.559000000001</v>
      </c>
      <c r="BJ67" s="8">
        <f>_xlfn.IFNA(VLOOKUP(Granger_Inventory[[#This Row],[quality]],Lookups!$H$2:$J$14,3,FALSE),0)</f>
        <v>23737.786340274597</v>
      </c>
      <c r="BK67" s="8">
        <f>_xlfn.IFNA(VLOOKUP(Granger_Inventory[[#This Row],[condition]],Lookups!$H$17:$J$24,3,FALSE),0)</f>
        <v>33736</v>
      </c>
      <c r="BL67" s="8">
        <f>Granger_Inventory[[#This Row],[Age]]*Lookups!$B$16</f>
        <v>-18452.4679</v>
      </c>
      <c r="BM67" s="8">
        <f>Granger_Inventory[[#This Row],[living_area]]*Lookups!$B$17</f>
        <v>71712.920994</v>
      </c>
      <c r="BN67" s="8">
        <f>(Granger_Inventory[[#This Row],[att_gar]]+Granger_Inventory[[#This Row],[blt_gar]])*Lookups!$B$18</f>
        <v>0</v>
      </c>
      <c r="BO67" s="8">
        <f>Granger_Inventory[[#This Row],[Patio]]*Lookups!$B$19</f>
        <v>0</v>
      </c>
      <c r="BP67" s="8">
        <f>SUM(Granger_Inventory[[#This Row],[Intercept]:[Patio_Value]])*Granger_Inventory[[#This Row],[res_pct]]</f>
        <v>140437.79843427459</v>
      </c>
      <c r="BQ67" s="8">
        <f>Granger_Inventory[[#This Row],[land_value]]</f>
        <v>32806.481099880541</v>
      </c>
      <c r="BR67" s="4">
        <f>_xlfn.IFNA(VLOOKUP(Granger_Inventory[[#This Row],[quality]],Lookups!$A$25:$C$35,3,FALSE),1)</f>
        <v>0.77695375541795109</v>
      </c>
      <c r="BS67" s="4">
        <f>_xlfn.IFNA(VLOOKUP(Granger_Inventory[[#This Row],[condition]],Lookups!$A$38:$C$45,3,FALSE),1)</f>
        <v>0.92294678898076177</v>
      </c>
      <c r="BT67" s="4">
        <f>IF(Granger_Inventory[[#This Row],[decade]]="",1,_xlfn.IFNA(VLOOKUP(Granger_Inventory[[#This Row],[decade]],Lookups!$G$28:$I$42,3,FALSE),1))</f>
        <v>0.95234610137492615</v>
      </c>
      <c r="BU67" s="4">
        <f>_xlfn.IFNA(VLOOKUP(Granger_Inventory[[#This Row],[living_area_range]],Lookups!$A$48:$C$57,3,FALSE),1)</f>
        <v>0.97960506760539345</v>
      </c>
      <c r="BV67" s="4">
        <f>AVERAGE(Granger_Inventory[[#This Row],[qual_adj]:[living_range_adj]])</f>
        <v>0.90796292834475811</v>
      </c>
      <c r="BW67" s="8">
        <f>(Granger_Inventory[[#This Row],[sum_land]]-IF(Granger_Inventory[[#This Row],[no_utilities]]=1,12000,0))/IF(Granger_Inventory[[#This Row],[unbuildable]]=1,2,1)</f>
        <v>32806.481099880541</v>
      </c>
      <c r="BX67" s="8">
        <f>Granger_Inventory[[#This Row],[pre_res]]*Granger_Inventory[[#This Row],[overall_adj]]</f>
        <v>127512.31471667484</v>
      </c>
      <c r="BY67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67">
        <f>ROUND(Granger_Inventory[[#This Row],[detatched_value]]*Lookups!$I$45,-2)</f>
        <v>0</v>
      </c>
      <c r="CA67">
        <f>IF(ROUND(Granger_Inventory[[#This Row],[adj_res]]*Lookups!$I$45,-2)&lt;Granger_Inventory[[#This Row],[min_res]],Granger_Inventory[[#This Row],[min_res]],ROUND(Granger_Inventory[[#This Row],[adj_res]]*Lookups!$I$45,-2))</f>
        <v>121100</v>
      </c>
      <c r="CB67">
        <f>Granger_Inventory[[#This Row],[final_det]]+Granger_Inventory[[#This Row],[final_res]]</f>
        <v>121100</v>
      </c>
      <c r="CC67">
        <f>Granger_Inventory[[#This Row],[final_land]]+Granger_Inventory[[#This Row],[final_imp]]+Granger_Inventory[[#This Row],[crop_value]]</f>
        <v>152300</v>
      </c>
      <c r="CE67" t="str">
        <f t="shared" si="1"/>
        <v>update valuation set market_land =31200, market_bldg=121100, market_total =152300, market_mdno =402, market_date ='9/10/2023' where link_id = (select link_id from parcel where parcel_year = '2024' and parcel_id = '21101533430');</v>
      </c>
    </row>
    <row r="68" spans="1:83" x14ac:dyDescent="0.25">
      <c r="A68">
        <v>21101533431</v>
      </c>
      <c r="B68">
        <v>0.28999999999999998</v>
      </c>
      <c r="C68">
        <v>12683</v>
      </c>
      <c r="D68" t="s">
        <v>137</v>
      </c>
      <c r="E68" t="s">
        <v>54</v>
      </c>
      <c r="F68" t="s">
        <v>54</v>
      </c>
      <c r="G68">
        <v>3</v>
      </c>
      <c r="H68" t="s">
        <v>55</v>
      </c>
      <c r="I68">
        <v>55600</v>
      </c>
      <c r="J68">
        <v>28300</v>
      </c>
      <c r="K68">
        <v>0.28999999999999998</v>
      </c>
      <c r="L68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68">
        <v>0</v>
      </c>
      <c r="N68">
        <v>0</v>
      </c>
      <c r="O68">
        <v>0</v>
      </c>
      <c r="P68">
        <v>47108.068500000001</v>
      </c>
      <c r="Q68">
        <v>122298</v>
      </c>
      <c r="R68">
        <f>(Granger_Inventory[[#This Row],[ln_acres]]*Granger_Inventory[[#This Row],[coeff]])+Granger_Inventory[[#This Row],[const]]</f>
        <v>63984.130043082419</v>
      </c>
      <c r="S68" t="s">
        <v>66</v>
      </c>
      <c r="T68">
        <v>1</v>
      </c>
      <c r="U68" t="s">
        <v>78</v>
      </c>
      <c r="V68" t="s">
        <v>77</v>
      </c>
      <c r="W68">
        <v>0</v>
      </c>
      <c r="X68">
        <v>0</v>
      </c>
      <c r="Y68">
        <v>50</v>
      </c>
      <c r="Z68">
        <v>73</v>
      </c>
      <c r="AA68">
        <v>80</v>
      </c>
      <c r="AB68">
        <v>1000</v>
      </c>
      <c r="AC68">
        <v>768</v>
      </c>
      <c r="AD68">
        <v>768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120</v>
      </c>
      <c r="AM68">
        <v>0</v>
      </c>
      <c r="AN68">
        <v>0</v>
      </c>
      <c r="AO68">
        <v>120</v>
      </c>
      <c r="AP68">
        <v>5</v>
      </c>
      <c r="AQ68">
        <v>0</v>
      </c>
      <c r="AR68">
        <v>0</v>
      </c>
      <c r="AS68" t="s">
        <v>59</v>
      </c>
      <c r="AT68">
        <v>1</v>
      </c>
      <c r="AU68" t="s">
        <v>76</v>
      </c>
      <c r="AV68" t="s">
        <v>65</v>
      </c>
      <c r="AW68">
        <v>0</v>
      </c>
      <c r="AX68">
        <v>2</v>
      </c>
      <c r="AY68">
        <v>0</v>
      </c>
      <c r="AZ68">
        <v>1300</v>
      </c>
      <c r="BA68">
        <v>100</v>
      </c>
      <c r="BB68">
        <v>100</v>
      </c>
      <c r="BC68">
        <v>100</v>
      </c>
      <c r="BD68">
        <v>100</v>
      </c>
      <c r="BE68">
        <v>1</v>
      </c>
      <c r="BF68">
        <v>15000</v>
      </c>
      <c r="BG68">
        <v>1000</v>
      </c>
      <c r="BH68" s="8">
        <f>Granger_Inventory[[#This Row],[land_extract]]*Lookups!$B$3</f>
        <v>38117.316977869523</v>
      </c>
      <c r="BI68" s="8">
        <f>IF(Granger_Inventory[[#This Row],[bldg_style]]="",0,Lookups!$B$2)</f>
        <v>29703.559000000001</v>
      </c>
      <c r="BJ68" s="8">
        <f>_xlfn.IFNA(VLOOKUP(Granger_Inventory[[#This Row],[quality]],Lookups!$H$2:$J$14,3,FALSE),0)</f>
        <v>23737.786340274597</v>
      </c>
      <c r="BK68" s="8">
        <f>_xlfn.IFNA(VLOOKUP(Granger_Inventory[[#This Row],[condition]],Lookups!$H$17:$J$24,3,FALSE),0)</f>
        <v>33736</v>
      </c>
      <c r="BL68" s="8">
        <f>Granger_Inventory[[#This Row],[Age]]*Lookups!$B$16</f>
        <v>-15135.1703</v>
      </c>
      <c r="BM68" s="8">
        <f>Granger_Inventory[[#This Row],[living_area]]*Lookups!$B$17</f>
        <v>51665.594111999999</v>
      </c>
      <c r="BN68" s="8">
        <f>(Granger_Inventory[[#This Row],[att_gar]]+Granger_Inventory[[#This Row],[blt_gar]])*Lookups!$B$18</f>
        <v>0</v>
      </c>
      <c r="BO68" s="8">
        <f>Granger_Inventory[[#This Row],[Patio]]*Lookups!$B$19</f>
        <v>0</v>
      </c>
      <c r="BP68" s="8">
        <f>SUM(Granger_Inventory[[#This Row],[Intercept]:[Patio_Value]])*Granger_Inventory[[#This Row],[res_pct]]</f>
        <v>123707.76915227459</v>
      </c>
      <c r="BQ68" s="8">
        <f>Granger_Inventory[[#This Row],[land_value]]</f>
        <v>38117.316977869523</v>
      </c>
      <c r="BR68" s="4">
        <f>_xlfn.IFNA(VLOOKUP(Granger_Inventory[[#This Row],[quality]],Lookups!$A$25:$C$35,3,FALSE),1)</f>
        <v>0.77695375541795109</v>
      </c>
      <c r="BS68" s="4">
        <f>_xlfn.IFNA(VLOOKUP(Granger_Inventory[[#This Row],[condition]],Lookups!$A$38:$C$45,3,FALSE),1)</f>
        <v>0.92294678898076177</v>
      </c>
      <c r="BT68" s="4">
        <f>IF(Granger_Inventory[[#This Row],[decade]]="",1,_xlfn.IFNA(VLOOKUP(Granger_Inventory[[#This Row],[decade]],Lookups!$G$28:$I$42,3,FALSE),1))</f>
        <v>0.76006056002554967</v>
      </c>
      <c r="BU68" s="4">
        <f>_xlfn.IFNA(VLOOKUP(Granger_Inventory[[#This Row],[living_area_range]],Lookups!$A$48:$C$57,3,FALSE),1)</f>
        <v>0.81272404900450645</v>
      </c>
      <c r="BV68" s="4">
        <f>AVERAGE(Granger_Inventory[[#This Row],[qual_adj]:[living_range_adj]])</f>
        <v>0.81817128835719222</v>
      </c>
      <c r="BW68" s="8">
        <f>(Granger_Inventory[[#This Row],[sum_land]]-IF(Granger_Inventory[[#This Row],[no_utilities]]=1,12000,0))/IF(Granger_Inventory[[#This Row],[unbuildable]]=1,2,1)</f>
        <v>38117.316977869523</v>
      </c>
      <c r="BX68" s="8">
        <f>Granger_Inventory[[#This Row],[pre_res]]*Granger_Inventory[[#This Row],[overall_adj]]</f>
        <v>101214.14486711062</v>
      </c>
      <c r="BY68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68">
        <f>ROUND(Granger_Inventory[[#This Row],[detatched_value]]*Lookups!$I$45,-2)</f>
        <v>1200</v>
      </c>
      <c r="CA68">
        <f>IF(ROUND(Granger_Inventory[[#This Row],[adj_res]]*Lookups!$I$45,-2)&lt;Granger_Inventory[[#This Row],[min_res]],Granger_Inventory[[#This Row],[min_res]],ROUND(Granger_Inventory[[#This Row],[adj_res]]*Lookups!$I$45,-2))</f>
        <v>96200</v>
      </c>
      <c r="CB68">
        <f>Granger_Inventory[[#This Row],[final_det]]+Granger_Inventory[[#This Row],[final_res]]</f>
        <v>97400</v>
      </c>
      <c r="CC68">
        <f>Granger_Inventory[[#This Row],[final_land]]+Granger_Inventory[[#This Row],[final_imp]]+Granger_Inventory[[#This Row],[crop_value]]</f>
        <v>133600</v>
      </c>
      <c r="CE68" t="str">
        <f t="shared" si="1"/>
        <v>update valuation set market_land =36200, market_bldg=97400, market_total =133600, market_mdno =402, market_date ='9/10/2023' where link_id = (select link_id from parcel where parcel_year = '2024' and parcel_id = '21101533431');</v>
      </c>
    </row>
    <row r="69" spans="1:83" x14ac:dyDescent="0.25">
      <c r="A69">
        <v>21101533434</v>
      </c>
      <c r="B69">
        <v>0.34</v>
      </c>
      <c r="C69">
        <v>14922</v>
      </c>
      <c r="D69" t="s">
        <v>137</v>
      </c>
      <c r="E69" t="s">
        <v>54</v>
      </c>
      <c r="F69" t="s">
        <v>54</v>
      </c>
      <c r="G69">
        <v>3</v>
      </c>
      <c r="H69" t="s">
        <v>55</v>
      </c>
      <c r="I69">
        <v>900</v>
      </c>
      <c r="J69">
        <v>29200</v>
      </c>
      <c r="K69">
        <v>0.34</v>
      </c>
      <c r="L69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69">
        <v>0</v>
      </c>
      <c r="N69">
        <v>0</v>
      </c>
      <c r="O69">
        <v>0</v>
      </c>
      <c r="P69">
        <v>47108.068500000001</v>
      </c>
      <c r="Q69">
        <v>122298</v>
      </c>
      <c r="R69">
        <f>(Granger_Inventory[[#This Row],[ln_acres]]*Granger_Inventory[[#This Row],[coeff]])+Granger_Inventory[[#This Row],[const]]</f>
        <v>71477.360573629325</v>
      </c>
      <c r="S69" t="s">
        <v>66</v>
      </c>
      <c r="T69">
        <v>1</v>
      </c>
      <c r="U69" t="s">
        <v>106</v>
      </c>
      <c r="V69" t="s">
        <v>109</v>
      </c>
      <c r="W69">
        <v>0</v>
      </c>
      <c r="X69">
        <v>0</v>
      </c>
      <c r="Y69">
        <v>53</v>
      </c>
      <c r="Z69">
        <v>93</v>
      </c>
      <c r="AA69">
        <v>100</v>
      </c>
      <c r="AB69">
        <v>1000</v>
      </c>
      <c r="AC69">
        <v>760</v>
      </c>
      <c r="AD69">
        <v>760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5</v>
      </c>
      <c r="AQ69">
        <v>0</v>
      </c>
      <c r="AR69">
        <v>0</v>
      </c>
      <c r="AS69" t="s">
        <v>59</v>
      </c>
      <c r="AT69">
        <v>0</v>
      </c>
      <c r="AU69" t="s">
        <v>83</v>
      </c>
      <c r="AV69" t="s">
        <v>61</v>
      </c>
      <c r="AW69">
        <v>0</v>
      </c>
      <c r="AX69">
        <v>2</v>
      </c>
      <c r="AY69">
        <v>0</v>
      </c>
      <c r="AZ69">
        <v>1000</v>
      </c>
      <c r="BA69">
        <v>100</v>
      </c>
      <c r="BB69">
        <v>100</v>
      </c>
      <c r="BC69">
        <v>100</v>
      </c>
      <c r="BD69">
        <v>100</v>
      </c>
      <c r="BE69">
        <v>1</v>
      </c>
      <c r="BF69">
        <v>15000</v>
      </c>
      <c r="BG69">
        <v>1000</v>
      </c>
      <c r="BH69" s="8">
        <f>Granger_Inventory[[#This Row],[land_extract]]*Lookups!$B$3</f>
        <v>42581.265196416658</v>
      </c>
      <c r="BI69" s="8">
        <f>IF(Granger_Inventory[[#This Row],[bldg_style]]="",0,Lookups!$B$2)</f>
        <v>29703.559000000001</v>
      </c>
      <c r="BJ69" s="8">
        <f>_xlfn.IFNA(VLOOKUP(Granger_Inventory[[#This Row],[quality]],Lookups!$H$2:$J$14,3,FALSE),0)</f>
        <v>17985.540667792327</v>
      </c>
      <c r="BK69" s="8">
        <f>_xlfn.IFNA(VLOOKUP(Granger_Inventory[[#This Row],[condition]],Lookups!$H$17:$J$24,3,FALSE),0)</f>
        <v>8238</v>
      </c>
      <c r="BL69" s="8">
        <f>Granger_Inventory[[#This Row],[Age]]*Lookups!$B$16</f>
        <v>-19281.792300000001</v>
      </c>
      <c r="BM69" s="8">
        <f>Granger_Inventory[[#This Row],[living_area]]*Lookups!$B$17</f>
        <v>51127.410839999997</v>
      </c>
      <c r="BN69" s="8">
        <f>(Granger_Inventory[[#This Row],[att_gar]]+Granger_Inventory[[#This Row],[blt_gar]])*Lookups!$B$18</f>
        <v>0</v>
      </c>
      <c r="BO69" s="8">
        <f>Granger_Inventory[[#This Row],[Patio]]*Lookups!$B$19</f>
        <v>0</v>
      </c>
      <c r="BP69" s="8">
        <f>SUM(Granger_Inventory[[#This Row],[Intercept]:[Patio_Value]])*Granger_Inventory[[#This Row],[res_pct]]</f>
        <v>87772.718207792321</v>
      </c>
      <c r="BQ69" s="8">
        <f>Granger_Inventory[[#This Row],[land_value]]</f>
        <v>42581.265196416658</v>
      </c>
      <c r="BR69" s="4">
        <f>_xlfn.IFNA(VLOOKUP(Granger_Inventory[[#This Row],[quality]],Lookups!$A$25:$C$35,3,FALSE),1)</f>
        <v>0.77695375541795109</v>
      </c>
      <c r="BS69" s="4">
        <f>_xlfn.IFNA(VLOOKUP(Granger_Inventory[[#This Row],[condition]],Lookups!$A$38:$C$45,3,FALSE),1)</f>
        <v>0.59507759803100935</v>
      </c>
      <c r="BT69" s="4">
        <f>IF(Granger_Inventory[[#This Row],[decade]]="",1,_xlfn.IFNA(VLOOKUP(Granger_Inventory[[#This Row],[decade]],Lookups!$G$28:$I$42,3,FALSE),1))</f>
        <v>0.879441629375324</v>
      </c>
      <c r="BU69" s="4">
        <f>_xlfn.IFNA(VLOOKUP(Granger_Inventory[[#This Row],[living_area_range]],Lookups!$A$48:$C$57,3,FALSE),1)</f>
        <v>0.81272404900450645</v>
      </c>
      <c r="BV69" s="4">
        <f>AVERAGE(Granger_Inventory[[#This Row],[qual_adj]:[living_range_adj]])</f>
        <v>0.7660492579571978</v>
      </c>
      <c r="BW69" s="8">
        <f>(Granger_Inventory[[#This Row],[sum_land]]-IF(Granger_Inventory[[#This Row],[no_utilities]]=1,12000,0))/IF(Granger_Inventory[[#This Row],[unbuildable]]=1,2,1)</f>
        <v>42581.265196416658</v>
      </c>
      <c r="BX69" s="8">
        <f>Granger_Inventory[[#This Row],[pre_res]]*Granger_Inventory[[#This Row],[overall_adj]]</f>
        <v>67238.225651965535</v>
      </c>
      <c r="BY69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69">
        <f>ROUND(Granger_Inventory[[#This Row],[detatched_value]]*Lookups!$I$45,-2)</f>
        <v>1000</v>
      </c>
      <c r="CA69">
        <f>IF(ROUND(Granger_Inventory[[#This Row],[adj_res]]*Lookups!$I$45,-2)&lt;Granger_Inventory[[#This Row],[min_res]],Granger_Inventory[[#This Row],[min_res]],ROUND(Granger_Inventory[[#This Row],[adj_res]]*Lookups!$I$45,-2))</f>
        <v>63900</v>
      </c>
      <c r="CB69">
        <f>Granger_Inventory[[#This Row],[final_det]]+Granger_Inventory[[#This Row],[final_res]]</f>
        <v>64900</v>
      </c>
      <c r="CC69">
        <f>Granger_Inventory[[#This Row],[final_land]]+Granger_Inventory[[#This Row],[final_imp]]+Granger_Inventory[[#This Row],[crop_value]]</f>
        <v>105400</v>
      </c>
      <c r="CE69" t="str">
        <f t="shared" si="1"/>
        <v>update valuation set market_land =40500, market_bldg=64900, market_total =105400, market_mdno =402, market_date ='9/10/2023' where link_id = (select link_id from parcel where parcel_year = '2024' and parcel_id = '21101533434');</v>
      </c>
    </row>
    <row r="70" spans="1:83" x14ac:dyDescent="0.25">
      <c r="A70">
        <v>21101533435</v>
      </c>
      <c r="B70">
        <v>0.33</v>
      </c>
      <c r="C70">
        <v>14592</v>
      </c>
      <c r="D70" t="s">
        <v>137</v>
      </c>
      <c r="E70" t="s">
        <v>54</v>
      </c>
      <c r="F70" t="s">
        <v>54</v>
      </c>
      <c r="G70">
        <v>3</v>
      </c>
      <c r="H70" t="s">
        <v>55</v>
      </c>
      <c r="I70">
        <v>157600</v>
      </c>
      <c r="J70">
        <v>29000</v>
      </c>
      <c r="K70">
        <v>0.33</v>
      </c>
      <c r="L70">
        <f>IF(Granger_Inventory[[#This Row],[parcel_acres]]-Granger_Inventory[[#This Row],[non_valued_acres]] =0,0,LN(Granger_Inventory[[#This Row],[parcel_acres]]-Granger_Inventory[[#This Row],[non_valued_acres]]))</f>
        <v>-1.1086626245216111</v>
      </c>
      <c r="M70">
        <v>0</v>
      </c>
      <c r="N70">
        <v>0</v>
      </c>
      <c r="O70">
        <v>0</v>
      </c>
      <c r="P70">
        <v>47108.068500000001</v>
      </c>
      <c r="Q70">
        <v>122298</v>
      </c>
      <c r="R70">
        <f>(Granger_Inventory[[#This Row],[ln_acres]]*Granger_Inventory[[#This Row],[coeff]])+Granger_Inventory[[#This Row],[const]]</f>
        <v>70071.045140646165</v>
      </c>
      <c r="S70" t="s">
        <v>69</v>
      </c>
      <c r="T70">
        <v>1</v>
      </c>
      <c r="U70" t="s">
        <v>78</v>
      </c>
      <c r="V70" t="s">
        <v>79</v>
      </c>
      <c r="W70">
        <v>0</v>
      </c>
      <c r="X70">
        <v>0</v>
      </c>
      <c r="Y70">
        <v>50</v>
      </c>
      <c r="Z70">
        <v>73</v>
      </c>
      <c r="AA70">
        <v>80</v>
      </c>
      <c r="AB70">
        <v>2000</v>
      </c>
      <c r="AC70">
        <v>1708</v>
      </c>
      <c r="AD70">
        <v>1708</v>
      </c>
      <c r="AE70">
        <v>0</v>
      </c>
      <c r="AF70">
        <v>0</v>
      </c>
      <c r="AG70">
        <v>0</v>
      </c>
      <c r="AH70">
        <v>0</v>
      </c>
      <c r="AI70">
        <v>360</v>
      </c>
      <c r="AJ70">
        <v>0</v>
      </c>
      <c r="AK70">
        <v>0</v>
      </c>
      <c r="AL70">
        <v>0</v>
      </c>
      <c r="AM70">
        <v>60</v>
      </c>
      <c r="AN70">
        <v>0</v>
      </c>
      <c r="AO70">
        <v>60</v>
      </c>
      <c r="AP70">
        <v>8</v>
      </c>
      <c r="AQ70">
        <v>1</v>
      </c>
      <c r="AR70">
        <v>1</v>
      </c>
      <c r="AS70" t="s">
        <v>59</v>
      </c>
      <c r="AT70">
        <v>1</v>
      </c>
      <c r="AU70" t="s">
        <v>76</v>
      </c>
      <c r="AV70" t="s">
        <v>61</v>
      </c>
      <c r="AW70">
        <v>0</v>
      </c>
      <c r="AX70">
        <v>4</v>
      </c>
      <c r="AY70">
        <v>0</v>
      </c>
      <c r="AZ70">
        <v>18200</v>
      </c>
      <c r="BA70">
        <v>100</v>
      </c>
      <c r="BB70">
        <v>100</v>
      </c>
      <c r="BC70">
        <v>100</v>
      </c>
      <c r="BD70">
        <v>100</v>
      </c>
      <c r="BE70">
        <v>1</v>
      </c>
      <c r="BF70">
        <v>15000</v>
      </c>
      <c r="BG70">
        <v>1000</v>
      </c>
      <c r="BH70" s="8">
        <f>Granger_Inventory[[#This Row],[land_extract]]*Lookups!$B$3</f>
        <v>41743.479778473251</v>
      </c>
      <c r="BI70" s="8">
        <f>IF(Granger_Inventory[[#This Row],[bldg_style]]="",0,Lookups!$B$2)</f>
        <v>29703.559000000001</v>
      </c>
      <c r="BJ70" s="8">
        <f>_xlfn.IFNA(VLOOKUP(Granger_Inventory[[#This Row],[quality]],Lookups!$H$2:$J$14,3,FALSE),0)</f>
        <v>23737.786340274597</v>
      </c>
      <c r="BK70" s="8">
        <f>_xlfn.IFNA(VLOOKUP(Granger_Inventory[[#This Row],[condition]],Lookups!$H$17:$J$24,3,FALSE),0)</f>
        <v>86727</v>
      </c>
      <c r="BL70" s="8">
        <f>Granger_Inventory[[#This Row],[Age]]*Lookups!$B$16</f>
        <v>-15135.1703</v>
      </c>
      <c r="BM70" s="8">
        <f>Granger_Inventory[[#This Row],[living_area]]*Lookups!$B$17</f>
        <v>114902.128572</v>
      </c>
      <c r="BN70" s="8">
        <f>(Granger_Inventory[[#This Row],[att_gar]]+Granger_Inventory[[#This Row],[blt_gar]])*Lookups!$B$18</f>
        <v>17441.130960000002</v>
      </c>
      <c r="BO70" s="8">
        <f>Granger_Inventory[[#This Row],[Patio]]*Lookups!$B$19</f>
        <v>3258.9057599999996</v>
      </c>
      <c r="BP70" s="8">
        <f>SUM(Granger_Inventory[[#This Row],[Intercept]:[Patio_Value]])*Granger_Inventory[[#This Row],[res_pct]]</f>
        <v>260635.34033227459</v>
      </c>
      <c r="BQ70" s="8">
        <f>Granger_Inventory[[#This Row],[land_value]]</f>
        <v>41743.479778473251</v>
      </c>
      <c r="BR70" s="4">
        <f>_xlfn.IFNA(VLOOKUP(Granger_Inventory[[#This Row],[quality]],Lookups!$A$25:$C$35,3,FALSE),1)</f>
        <v>0.77695375541795109</v>
      </c>
      <c r="BS70" s="4">
        <f>_xlfn.IFNA(VLOOKUP(Granger_Inventory[[#This Row],[condition]],Lookups!$A$38:$C$45,3,FALSE),1)</f>
        <v>0.85322907131620684</v>
      </c>
      <c r="BT70" s="4">
        <f>IF(Granger_Inventory[[#This Row],[decade]]="",1,_xlfn.IFNA(VLOOKUP(Granger_Inventory[[#This Row],[decade]],Lookups!$G$28:$I$42,3,FALSE),1))</f>
        <v>0.76006056002554967</v>
      </c>
      <c r="BU70" s="4">
        <f>_xlfn.IFNA(VLOOKUP(Granger_Inventory[[#This Row],[living_area_range]],Lookups!$A$48:$C$57,3,FALSE),1)</f>
        <v>0.97860968051050168</v>
      </c>
      <c r="BV70" s="4">
        <f>AVERAGE(Granger_Inventory[[#This Row],[qual_adj]:[living_range_adj]])</f>
        <v>0.84221326681755238</v>
      </c>
      <c r="BW70" s="8">
        <f>(Granger_Inventory[[#This Row],[sum_land]]-IF(Granger_Inventory[[#This Row],[no_utilities]]=1,12000,0))/IF(Granger_Inventory[[#This Row],[unbuildable]]=1,2,1)</f>
        <v>41743.479778473251</v>
      </c>
      <c r="BX70" s="8">
        <f>Granger_Inventory[[#This Row],[pre_res]]*Granger_Inventory[[#This Row],[overall_adj]]</f>
        <v>219510.54142934954</v>
      </c>
      <c r="BY70">
        <f>IF(ROUND(Granger_Inventory[[#This Row],[adj_land]]*Lookups!$I$45,-2)&lt;Granger_Inventory[[#This Row],[min_land]],Granger_Inventory[[#This Row],[min_land]],ROUND(Granger_Inventory[[#This Row],[adj_land]]*Lookups!$I$45,-2))</f>
        <v>39700</v>
      </c>
      <c r="BZ70">
        <f>ROUND(Granger_Inventory[[#This Row],[detatched_value]]*Lookups!$I$45,-2)</f>
        <v>17300</v>
      </c>
      <c r="CA70">
        <f>IF(ROUND(Granger_Inventory[[#This Row],[adj_res]]*Lookups!$I$45,-2)&lt;Granger_Inventory[[#This Row],[min_res]],Granger_Inventory[[#This Row],[min_res]],ROUND(Granger_Inventory[[#This Row],[adj_res]]*Lookups!$I$45,-2))</f>
        <v>208500</v>
      </c>
      <c r="CB70">
        <f>Granger_Inventory[[#This Row],[final_det]]+Granger_Inventory[[#This Row],[final_res]]</f>
        <v>225800</v>
      </c>
      <c r="CC70">
        <f>Granger_Inventory[[#This Row],[final_land]]+Granger_Inventory[[#This Row],[final_imp]]+Granger_Inventory[[#This Row],[crop_value]]</f>
        <v>265500</v>
      </c>
      <c r="CE70" t="str">
        <f t="shared" si="1"/>
        <v>update valuation set market_land =39700, market_bldg=225800, market_total =265500, market_mdno =402, market_date ='9/10/2023' where link_id = (select link_id from parcel where parcel_year = '2024' and parcel_id = '21101533435');</v>
      </c>
    </row>
    <row r="71" spans="1:83" x14ac:dyDescent="0.25">
      <c r="A71">
        <v>21101533436</v>
      </c>
      <c r="B71">
        <v>0.21</v>
      </c>
      <c r="C71">
        <v>8936</v>
      </c>
      <c r="D71" t="s">
        <v>137</v>
      </c>
      <c r="E71" t="s">
        <v>54</v>
      </c>
      <c r="F71" t="s">
        <v>54</v>
      </c>
      <c r="G71">
        <v>3</v>
      </c>
      <c r="H71" t="s">
        <v>55</v>
      </c>
      <c r="I71">
        <v>52300</v>
      </c>
      <c r="J71">
        <v>26500</v>
      </c>
      <c r="K71">
        <v>0.21</v>
      </c>
      <c r="L71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71">
        <v>0</v>
      </c>
      <c r="N71">
        <v>0</v>
      </c>
      <c r="O71">
        <v>0</v>
      </c>
      <c r="P71">
        <v>47108.068500000001</v>
      </c>
      <c r="Q71">
        <v>122298</v>
      </c>
      <c r="R71">
        <f>(Granger_Inventory[[#This Row],[ln_acres]]*Granger_Inventory[[#This Row],[coeff]])+Granger_Inventory[[#This Row],[const]]</f>
        <v>48778.898970377239</v>
      </c>
      <c r="S71" t="s">
        <v>69</v>
      </c>
      <c r="T71">
        <v>1</v>
      </c>
      <c r="U71" t="s">
        <v>78</v>
      </c>
      <c r="V71" t="s">
        <v>77</v>
      </c>
      <c r="W71">
        <v>0</v>
      </c>
      <c r="X71">
        <v>0</v>
      </c>
      <c r="Y71">
        <v>51</v>
      </c>
      <c r="Z71">
        <v>83</v>
      </c>
      <c r="AA71">
        <v>90</v>
      </c>
      <c r="AB71">
        <v>1000</v>
      </c>
      <c r="AC71">
        <v>864</v>
      </c>
      <c r="AD71">
        <v>864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5</v>
      </c>
      <c r="AQ71">
        <v>0</v>
      </c>
      <c r="AR71">
        <v>0</v>
      </c>
      <c r="AS71" t="s">
        <v>59</v>
      </c>
      <c r="AT71">
        <v>1</v>
      </c>
      <c r="AU71" t="s">
        <v>76</v>
      </c>
      <c r="AV71" t="s">
        <v>65</v>
      </c>
      <c r="AW71">
        <v>0</v>
      </c>
      <c r="AX71">
        <v>2</v>
      </c>
      <c r="AY71">
        <v>0</v>
      </c>
      <c r="AZ71">
        <v>0</v>
      </c>
      <c r="BA71">
        <v>100</v>
      </c>
      <c r="BB71">
        <v>100</v>
      </c>
      <c r="BC71">
        <v>100</v>
      </c>
      <c r="BD71">
        <v>100</v>
      </c>
      <c r="BE71">
        <v>1</v>
      </c>
      <c r="BF71">
        <v>15000</v>
      </c>
      <c r="BG71">
        <v>1000</v>
      </c>
      <c r="BH71" s="8">
        <f>Granger_Inventory[[#This Row],[land_extract]]*Lookups!$B$3</f>
        <v>29059.09250674201</v>
      </c>
      <c r="BI71" s="8">
        <f>IF(Granger_Inventory[[#This Row],[bldg_style]]="",0,Lookups!$B$2)</f>
        <v>29703.559000000001</v>
      </c>
      <c r="BJ71" s="8">
        <f>_xlfn.IFNA(VLOOKUP(Granger_Inventory[[#This Row],[quality]],Lookups!$H$2:$J$14,3,FALSE),0)</f>
        <v>23737.786340274597</v>
      </c>
      <c r="BK71" s="8">
        <f>_xlfn.IFNA(VLOOKUP(Granger_Inventory[[#This Row],[condition]],Lookups!$H$17:$J$24,3,FALSE),0)</f>
        <v>33736</v>
      </c>
      <c r="BL71" s="8">
        <f>Granger_Inventory[[#This Row],[Age]]*Lookups!$B$16</f>
        <v>-17208.481299999999</v>
      </c>
      <c r="BM71" s="8">
        <f>Granger_Inventory[[#This Row],[living_area]]*Lookups!$B$17</f>
        <v>58123.793376000001</v>
      </c>
      <c r="BN71" s="8">
        <f>(Granger_Inventory[[#This Row],[att_gar]]+Granger_Inventory[[#This Row],[blt_gar]])*Lookups!$B$18</f>
        <v>0</v>
      </c>
      <c r="BO71" s="8">
        <f>Granger_Inventory[[#This Row],[Patio]]*Lookups!$B$19</f>
        <v>0</v>
      </c>
      <c r="BP71" s="8">
        <f>SUM(Granger_Inventory[[#This Row],[Intercept]:[Patio_Value]])*Granger_Inventory[[#This Row],[res_pct]]</f>
        <v>128092.6574162746</v>
      </c>
      <c r="BQ71" s="8">
        <f>Granger_Inventory[[#This Row],[land_value]]</f>
        <v>29059.09250674201</v>
      </c>
      <c r="BR71" s="4">
        <f>_xlfn.IFNA(VLOOKUP(Granger_Inventory[[#This Row],[quality]],Lookups!$A$25:$C$35,3,FALSE),1)</f>
        <v>0.77695375541795109</v>
      </c>
      <c r="BS71" s="4">
        <f>_xlfn.IFNA(VLOOKUP(Granger_Inventory[[#This Row],[condition]],Lookups!$A$38:$C$45,3,FALSE),1)</f>
        <v>0.92294678898076177</v>
      </c>
      <c r="BT71" s="4">
        <f>IF(Granger_Inventory[[#This Row],[decade]]="",1,_xlfn.IFNA(VLOOKUP(Granger_Inventory[[#This Row],[decade]],Lookups!$G$28:$I$42,3,FALSE),1))</f>
        <v>0.95234610137492615</v>
      </c>
      <c r="BU71" s="4">
        <f>_xlfn.IFNA(VLOOKUP(Granger_Inventory[[#This Row],[living_area_range]],Lookups!$A$48:$C$57,3,FALSE),1)</f>
        <v>0.81272404900450645</v>
      </c>
      <c r="BV71" s="4">
        <f>AVERAGE(Granger_Inventory[[#This Row],[qual_adj]:[living_range_adj]])</f>
        <v>0.86624267369453634</v>
      </c>
      <c r="BW71" s="8">
        <f>(Granger_Inventory[[#This Row],[sum_land]]-IF(Granger_Inventory[[#This Row],[no_utilities]]=1,12000,0))/IF(Granger_Inventory[[#This Row],[unbuildable]]=1,2,1)</f>
        <v>29059.09250674201</v>
      </c>
      <c r="BX71" s="8">
        <f>Granger_Inventory[[#This Row],[pre_res]]*Granger_Inventory[[#This Row],[overall_adj]]</f>
        <v>110959.32604091198</v>
      </c>
      <c r="BY71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71">
        <f>ROUND(Granger_Inventory[[#This Row],[detatched_value]]*Lookups!$I$45,-2)</f>
        <v>0</v>
      </c>
      <c r="CA71">
        <f>IF(ROUND(Granger_Inventory[[#This Row],[adj_res]]*Lookups!$I$45,-2)&lt;Granger_Inventory[[#This Row],[min_res]],Granger_Inventory[[#This Row],[min_res]],ROUND(Granger_Inventory[[#This Row],[adj_res]]*Lookups!$I$45,-2))</f>
        <v>105400</v>
      </c>
      <c r="CB71">
        <f>Granger_Inventory[[#This Row],[final_det]]+Granger_Inventory[[#This Row],[final_res]]</f>
        <v>105400</v>
      </c>
      <c r="CC71">
        <f>Granger_Inventory[[#This Row],[final_land]]+Granger_Inventory[[#This Row],[final_imp]]+Granger_Inventory[[#This Row],[crop_value]]</f>
        <v>133000</v>
      </c>
      <c r="CE71" t="str">
        <f t="shared" si="1"/>
        <v>update valuation set market_land =27600, market_bldg=105400, market_total =133000, market_mdno =402, market_date ='9/10/2023' where link_id = (select link_id from parcel where parcel_year = '2024' and parcel_id = '21101533436');</v>
      </c>
    </row>
    <row r="72" spans="1:83" x14ac:dyDescent="0.25">
      <c r="A72">
        <v>21101533437</v>
      </c>
      <c r="B72">
        <v>0.41</v>
      </c>
      <c r="C72">
        <v>17863</v>
      </c>
      <c r="D72" t="s">
        <v>137</v>
      </c>
      <c r="E72" t="s">
        <v>54</v>
      </c>
      <c r="F72" t="s">
        <v>54</v>
      </c>
      <c r="G72">
        <v>3</v>
      </c>
      <c r="H72" t="s">
        <v>55</v>
      </c>
      <c r="I72">
        <v>115700</v>
      </c>
      <c r="J72">
        <v>30200</v>
      </c>
      <c r="K72">
        <v>0.41</v>
      </c>
      <c r="L72">
        <f>IF(Granger_Inventory[[#This Row],[parcel_acres]]-Granger_Inventory[[#This Row],[non_valued_acres]] =0,0,LN(Granger_Inventory[[#This Row],[parcel_acres]]-Granger_Inventory[[#This Row],[non_valued_acres]]))</f>
        <v>-0.89159811928378363</v>
      </c>
      <c r="M72">
        <v>0</v>
      </c>
      <c r="N72">
        <v>0</v>
      </c>
      <c r="O72">
        <v>0</v>
      </c>
      <c r="P72">
        <v>47108.068500000001</v>
      </c>
      <c r="Q72">
        <v>122298</v>
      </c>
      <c r="R72">
        <f>(Granger_Inventory[[#This Row],[ln_acres]]*Granger_Inventory[[#This Row],[coeff]])+Granger_Inventory[[#This Row],[const]]</f>
        <v>80296.534722308352</v>
      </c>
      <c r="S72" t="s">
        <v>56</v>
      </c>
      <c r="T72">
        <v>1</v>
      </c>
      <c r="U72" t="s">
        <v>71</v>
      </c>
      <c r="V72" t="s">
        <v>77</v>
      </c>
      <c r="W72">
        <v>0</v>
      </c>
      <c r="X72">
        <v>0</v>
      </c>
      <c r="Y72">
        <v>40</v>
      </c>
      <c r="Z72">
        <v>40</v>
      </c>
      <c r="AA72">
        <v>40</v>
      </c>
      <c r="AB72">
        <v>2000</v>
      </c>
      <c r="AC72">
        <v>1652</v>
      </c>
      <c r="AD72">
        <v>1652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408</v>
      </c>
      <c r="AL72">
        <v>0</v>
      </c>
      <c r="AM72">
        <v>0</v>
      </c>
      <c r="AN72">
        <v>112</v>
      </c>
      <c r="AO72">
        <v>0</v>
      </c>
      <c r="AP72">
        <v>5</v>
      </c>
      <c r="AQ72">
        <v>2</v>
      </c>
      <c r="AR72">
        <v>0</v>
      </c>
      <c r="AS72" t="s">
        <v>59</v>
      </c>
      <c r="AT72">
        <v>1</v>
      </c>
      <c r="AU72" t="s">
        <v>60</v>
      </c>
      <c r="AV72" t="s">
        <v>61</v>
      </c>
      <c r="AW72">
        <v>0</v>
      </c>
      <c r="AX72">
        <v>2</v>
      </c>
      <c r="AY72">
        <v>0</v>
      </c>
      <c r="AZ72">
        <v>0</v>
      </c>
      <c r="BA72">
        <v>100</v>
      </c>
      <c r="BB72">
        <v>100</v>
      </c>
      <c r="BC72">
        <v>100</v>
      </c>
      <c r="BD72">
        <v>100</v>
      </c>
      <c r="BE72">
        <v>1</v>
      </c>
      <c r="BF72">
        <v>15000</v>
      </c>
      <c r="BG72">
        <v>1000</v>
      </c>
      <c r="BH72" s="8">
        <f>Granger_Inventory[[#This Row],[land_extract]]*Lookups!$B$3</f>
        <v>47835.11886734853</v>
      </c>
      <c r="BI72" s="8">
        <f>IF(Granger_Inventory[[#This Row],[bldg_style]]="",0,Lookups!$B$2)</f>
        <v>29703.559000000001</v>
      </c>
      <c r="BJ72" s="8">
        <f>_xlfn.IFNA(VLOOKUP(Granger_Inventory[[#This Row],[quality]],Lookups!$H$2:$J$14,3,FALSE),0)</f>
        <v>34195</v>
      </c>
      <c r="BK72" s="8">
        <f>_xlfn.IFNA(VLOOKUP(Granger_Inventory[[#This Row],[condition]],Lookups!$H$17:$J$24,3,FALSE),0)</f>
        <v>33736</v>
      </c>
      <c r="BL72" s="8">
        <f>Granger_Inventory[[#This Row],[Age]]*Lookups!$B$16</f>
        <v>-8293.2439999999988</v>
      </c>
      <c r="BM72" s="8">
        <f>Granger_Inventory[[#This Row],[living_area]]*Lookups!$B$17</f>
        <v>111134.84566799999</v>
      </c>
      <c r="BN72" s="8">
        <f>(Granger_Inventory[[#This Row],[att_gar]]+Granger_Inventory[[#This Row],[blt_gar]])*Lookups!$B$18</f>
        <v>0</v>
      </c>
      <c r="BO72" s="8">
        <f>Granger_Inventory[[#This Row],[Patio]]*Lookups!$B$19</f>
        <v>0</v>
      </c>
      <c r="BP72" s="8">
        <f>SUM(Granger_Inventory[[#This Row],[Intercept]:[Patio_Value]])*Granger_Inventory[[#This Row],[res_pct]]</f>
        <v>200476.160668</v>
      </c>
      <c r="BQ72" s="8">
        <f>Granger_Inventory[[#This Row],[land_value]]</f>
        <v>47835.11886734853</v>
      </c>
      <c r="BR72" s="4">
        <f>_xlfn.IFNA(VLOOKUP(Granger_Inventory[[#This Row],[quality]],Lookups!$A$25:$C$35,3,FALSE),1)</f>
        <v>0.98258795897788032</v>
      </c>
      <c r="BS72" s="4">
        <f>_xlfn.IFNA(VLOOKUP(Granger_Inventory[[#This Row],[condition]],Lookups!$A$38:$C$45,3,FALSE),1)</f>
        <v>0.92294678898076177</v>
      </c>
      <c r="BT72" s="4">
        <f>IF(Granger_Inventory[[#This Row],[decade]]="",1,_xlfn.IFNA(VLOOKUP(Granger_Inventory[[#This Row],[decade]],Lookups!$G$28:$I$42,3,FALSE),1))</f>
        <v>0.98127609555109363</v>
      </c>
      <c r="BU72" s="4">
        <f>_xlfn.IFNA(VLOOKUP(Granger_Inventory[[#This Row],[living_area_range]],Lookups!$A$48:$C$57,3,FALSE),1)</f>
        <v>0.97860968051050168</v>
      </c>
      <c r="BV72" s="4">
        <f>AVERAGE(Granger_Inventory[[#This Row],[qual_adj]:[living_range_adj]])</f>
        <v>0.96635513100505932</v>
      </c>
      <c r="BW72" s="8">
        <f>(Granger_Inventory[[#This Row],[sum_land]]-IF(Granger_Inventory[[#This Row],[no_utilities]]=1,12000,0))/IF(Granger_Inventory[[#This Row],[unbuildable]]=1,2,1)</f>
        <v>47835.11886734853</v>
      </c>
      <c r="BX72" s="8">
        <f>Granger_Inventory[[#This Row],[pre_res]]*Granger_Inventory[[#This Row],[overall_adj]]</f>
        <v>193731.16650571645</v>
      </c>
      <c r="BY72">
        <f>IF(ROUND(Granger_Inventory[[#This Row],[adj_land]]*Lookups!$I$45,-2)&lt;Granger_Inventory[[#This Row],[min_land]],Granger_Inventory[[#This Row],[min_land]],ROUND(Granger_Inventory[[#This Row],[adj_land]]*Lookups!$I$45,-2))</f>
        <v>45400</v>
      </c>
      <c r="BZ72">
        <f>ROUND(Granger_Inventory[[#This Row],[detatched_value]]*Lookups!$I$45,-2)</f>
        <v>0</v>
      </c>
      <c r="CA72">
        <f>IF(ROUND(Granger_Inventory[[#This Row],[adj_res]]*Lookups!$I$45,-2)&lt;Granger_Inventory[[#This Row],[min_res]],Granger_Inventory[[#This Row],[min_res]],ROUND(Granger_Inventory[[#This Row],[adj_res]]*Lookups!$I$45,-2))</f>
        <v>184000</v>
      </c>
      <c r="CB72">
        <f>Granger_Inventory[[#This Row],[final_det]]+Granger_Inventory[[#This Row],[final_res]]</f>
        <v>184000</v>
      </c>
      <c r="CC72">
        <f>Granger_Inventory[[#This Row],[final_land]]+Granger_Inventory[[#This Row],[final_imp]]+Granger_Inventory[[#This Row],[crop_value]]</f>
        <v>229400</v>
      </c>
      <c r="CE72" t="str">
        <f t="shared" si="1"/>
        <v>update valuation set market_land =45400, market_bldg=184000, market_total =229400, market_mdno =402, market_date ='9/10/2023' where link_id = (select link_id from parcel where parcel_year = '2024' and parcel_id = '21101533437');</v>
      </c>
    </row>
    <row r="73" spans="1:83" x14ac:dyDescent="0.25">
      <c r="A73">
        <v>21101533441</v>
      </c>
      <c r="B73">
        <v>0.18</v>
      </c>
      <c r="C73">
        <v>7725</v>
      </c>
      <c r="D73" t="s">
        <v>137</v>
      </c>
      <c r="E73" t="s">
        <v>54</v>
      </c>
      <c r="F73" t="s">
        <v>54</v>
      </c>
      <c r="G73">
        <v>3</v>
      </c>
      <c r="H73" t="s">
        <v>55</v>
      </c>
      <c r="I73">
        <v>41200</v>
      </c>
      <c r="J73">
        <v>25600</v>
      </c>
      <c r="K73">
        <v>0.18</v>
      </c>
      <c r="L73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73">
        <v>0</v>
      </c>
      <c r="N73">
        <v>0</v>
      </c>
      <c r="O73">
        <v>0</v>
      </c>
      <c r="P73">
        <v>47108.068500000001</v>
      </c>
      <c r="Q73">
        <v>122298</v>
      </c>
      <c r="R73">
        <f>(Granger_Inventory[[#This Row],[ln_acres]]*Granger_Inventory[[#This Row],[coeff]])+Granger_Inventory[[#This Row],[const]]</f>
        <v>41517.1581857532</v>
      </c>
      <c r="S73" t="s">
        <v>62</v>
      </c>
      <c r="T73">
        <v>2</v>
      </c>
      <c r="U73" t="s">
        <v>106</v>
      </c>
      <c r="V73" t="s">
        <v>79</v>
      </c>
      <c r="W73">
        <v>0</v>
      </c>
      <c r="X73">
        <v>0</v>
      </c>
      <c r="Y73">
        <v>57</v>
      </c>
      <c r="Z73">
        <v>103</v>
      </c>
      <c r="AA73">
        <v>110</v>
      </c>
      <c r="AB73">
        <v>1000</v>
      </c>
      <c r="AC73">
        <v>936</v>
      </c>
      <c r="AD73">
        <v>720</v>
      </c>
      <c r="AE73">
        <v>216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120</v>
      </c>
      <c r="AM73">
        <v>0</v>
      </c>
      <c r="AN73">
        <v>0</v>
      </c>
      <c r="AO73">
        <v>120</v>
      </c>
      <c r="AP73">
        <v>5</v>
      </c>
      <c r="AQ73">
        <v>0</v>
      </c>
      <c r="AR73">
        <v>0</v>
      </c>
      <c r="AS73" t="s">
        <v>59</v>
      </c>
      <c r="AT73">
        <v>0</v>
      </c>
      <c r="AU73" t="s">
        <v>83</v>
      </c>
      <c r="AV73" t="s">
        <v>65</v>
      </c>
      <c r="AW73">
        <v>0</v>
      </c>
      <c r="AX73">
        <v>2</v>
      </c>
      <c r="AY73">
        <v>0</v>
      </c>
      <c r="AZ73">
        <v>0</v>
      </c>
      <c r="BA73">
        <v>100</v>
      </c>
      <c r="BB73">
        <v>100</v>
      </c>
      <c r="BC73">
        <v>100</v>
      </c>
      <c r="BD73">
        <v>100</v>
      </c>
      <c r="BE73">
        <v>1</v>
      </c>
      <c r="BF73">
        <v>15000</v>
      </c>
      <c r="BG73">
        <v>1000</v>
      </c>
      <c r="BH73" s="8">
        <f>Granger_Inventory[[#This Row],[land_extract]]*Lookups!$B$3</f>
        <v>24733.049859725303</v>
      </c>
      <c r="BI73" s="8">
        <f>IF(Granger_Inventory[[#This Row],[bldg_style]]="",0,Lookups!$B$2)</f>
        <v>29703.559000000001</v>
      </c>
      <c r="BJ73" s="8">
        <f>_xlfn.IFNA(VLOOKUP(Granger_Inventory[[#This Row],[quality]],Lookups!$H$2:$J$14,3,FALSE),0)</f>
        <v>17985.540667792327</v>
      </c>
      <c r="BK73" s="8">
        <f>_xlfn.IFNA(VLOOKUP(Granger_Inventory[[#This Row],[condition]],Lookups!$H$17:$J$24,3,FALSE),0)</f>
        <v>86727</v>
      </c>
      <c r="BL73" s="8">
        <f>Granger_Inventory[[#This Row],[Age]]*Lookups!$B$16</f>
        <v>-21355.103299999999</v>
      </c>
      <c r="BM73" s="8">
        <f>Granger_Inventory[[#This Row],[living_area]]*Lookups!$B$17</f>
        <v>62967.442823999998</v>
      </c>
      <c r="BN73" s="8">
        <f>(Granger_Inventory[[#This Row],[att_gar]]+Granger_Inventory[[#This Row],[blt_gar]])*Lookups!$B$18</f>
        <v>0</v>
      </c>
      <c r="BO73" s="8">
        <f>Granger_Inventory[[#This Row],[Patio]]*Lookups!$B$19</f>
        <v>0</v>
      </c>
      <c r="BP73" s="8">
        <f>SUM(Granger_Inventory[[#This Row],[Intercept]:[Patio_Value]])*Granger_Inventory[[#This Row],[res_pct]]</f>
        <v>176028.43919179233</v>
      </c>
      <c r="BQ73" s="8">
        <f>Granger_Inventory[[#This Row],[land_value]]</f>
        <v>24733.049859725303</v>
      </c>
      <c r="BR73" s="4">
        <f>_xlfn.IFNA(VLOOKUP(Granger_Inventory[[#This Row],[quality]],Lookups!$A$25:$C$35,3,FALSE),1)</f>
        <v>0.77695375541795109</v>
      </c>
      <c r="BS73" s="4">
        <f>_xlfn.IFNA(VLOOKUP(Granger_Inventory[[#This Row],[condition]],Lookups!$A$38:$C$45,3,FALSE),1)</f>
        <v>0.85322907131620684</v>
      </c>
      <c r="BT73" s="4">
        <f>IF(Granger_Inventory[[#This Row],[decade]]="",1,_xlfn.IFNA(VLOOKUP(Granger_Inventory[[#This Row],[decade]],Lookups!$G$28:$I$42,3,FALSE),1))</f>
        <v>0.879441629375324</v>
      </c>
      <c r="BU73" s="4">
        <f>_xlfn.IFNA(VLOOKUP(Granger_Inventory[[#This Row],[living_area_range]],Lookups!$A$48:$C$57,3,FALSE),1)</f>
        <v>0.81272404900450645</v>
      </c>
      <c r="BV73" s="4">
        <f>AVERAGE(Granger_Inventory[[#This Row],[qual_adj]:[living_range_adj]])</f>
        <v>0.83058712627849718</v>
      </c>
      <c r="BW73" s="8">
        <f>(Granger_Inventory[[#This Row],[sum_land]]-IF(Granger_Inventory[[#This Row],[no_utilities]]=1,12000,0))/IF(Granger_Inventory[[#This Row],[unbuildable]]=1,2,1)</f>
        <v>24733.049859725303</v>
      </c>
      <c r="BX73" s="8">
        <f>Granger_Inventory[[#This Row],[pre_res]]*Granger_Inventory[[#This Row],[overall_adj]]</f>
        <v>146206.95545159999</v>
      </c>
      <c r="BY73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73">
        <f>ROUND(Granger_Inventory[[#This Row],[detatched_value]]*Lookups!$I$45,-2)</f>
        <v>0</v>
      </c>
      <c r="CA73">
        <f>IF(ROUND(Granger_Inventory[[#This Row],[adj_res]]*Lookups!$I$45,-2)&lt;Granger_Inventory[[#This Row],[min_res]],Granger_Inventory[[#This Row],[min_res]],ROUND(Granger_Inventory[[#This Row],[adj_res]]*Lookups!$I$45,-2))</f>
        <v>138900</v>
      </c>
      <c r="CB73">
        <f>Granger_Inventory[[#This Row],[final_det]]+Granger_Inventory[[#This Row],[final_res]]</f>
        <v>138900</v>
      </c>
      <c r="CC73">
        <f>Granger_Inventory[[#This Row],[final_land]]+Granger_Inventory[[#This Row],[final_imp]]+Granger_Inventory[[#This Row],[crop_value]]</f>
        <v>162400</v>
      </c>
      <c r="CE73" t="str">
        <f t="shared" si="1"/>
        <v>update valuation set market_land =23500, market_bldg=138900, market_total =162400, market_mdno =402, market_date ='9/10/2023' where link_id = (select link_id from parcel where parcel_year = '2024' and parcel_id = '21101533441');</v>
      </c>
    </row>
    <row r="74" spans="1:83" x14ac:dyDescent="0.25">
      <c r="A74">
        <v>21101533442</v>
      </c>
      <c r="B74">
        <v>0.45</v>
      </c>
      <c r="C74" t="s">
        <v>137</v>
      </c>
      <c r="D74" t="s">
        <v>137</v>
      </c>
      <c r="E74" t="s">
        <v>54</v>
      </c>
      <c r="F74" t="s">
        <v>54</v>
      </c>
      <c r="G74">
        <v>3</v>
      </c>
      <c r="H74" t="s">
        <v>55</v>
      </c>
      <c r="I74">
        <v>144400</v>
      </c>
      <c r="J74">
        <v>32700</v>
      </c>
      <c r="K74">
        <v>0.45</v>
      </c>
      <c r="L74">
        <f>IF(Granger_Inventory[[#This Row],[parcel_acres]]-Granger_Inventory[[#This Row],[non_valued_acres]] =0,0,LN(Granger_Inventory[[#This Row],[parcel_acres]]-Granger_Inventory[[#This Row],[non_valued_acres]]))</f>
        <v>-0.79850769621777162</v>
      </c>
      <c r="M74">
        <v>0</v>
      </c>
      <c r="N74">
        <v>0</v>
      </c>
      <c r="O74">
        <v>0</v>
      </c>
      <c r="P74">
        <v>47108.068500000001</v>
      </c>
      <c r="Q74">
        <v>122298</v>
      </c>
      <c r="R74">
        <f>(Granger_Inventory[[#This Row],[ln_acres]]*Granger_Inventory[[#This Row],[coeff]])+Granger_Inventory[[#This Row],[const]]</f>
        <v>84681.844748796022</v>
      </c>
      <c r="S74" t="s">
        <v>62</v>
      </c>
      <c r="T74">
        <v>2</v>
      </c>
      <c r="U74" t="s">
        <v>78</v>
      </c>
      <c r="V74" t="s">
        <v>77</v>
      </c>
      <c r="W74">
        <v>0</v>
      </c>
      <c r="X74">
        <v>0</v>
      </c>
      <c r="Y74">
        <v>52</v>
      </c>
      <c r="Z74">
        <v>84</v>
      </c>
      <c r="AA74">
        <v>90</v>
      </c>
      <c r="AB74">
        <v>1500</v>
      </c>
      <c r="AC74">
        <v>1399</v>
      </c>
      <c r="AD74">
        <v>1000</v>
      </c>
      <c r="AE74">
        <v>399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585</v>
      </c>
      <c r="AN74">
        <v>0</v>
      </c>
      <c r="AO74">
        <v>0</v>
      </c>
      <c r="AP74">
        <v>5</v>
      </c>
      <c r="AQ74">
        <v>1</v>
      </c>
      <c r="AR74">
        <v>0</v>
      </c>
      <c r="AS74" t="s">
        <v>81</v>
      </c>
      <c r="AT74">
        <v>0</v>
      </c>
      <c r="AU74" t="s">
        <v>83</v>
      </c>
      <c r="AV74" t="s">
        <v>61</v>
      </c>
      <c r="AW74">
        <v>0</v>
      </c>
      <c r="AX74">
        <v>3</v>
      </c>
      <c r="AY74">
        <v>0</v>
      </c>
      <c r="AZ74">
        <v>33800</v>
      </c>
      <c r="BA74">
        <v>100</v>
      </c>
      <c r="BB74">
        <v>100</v>
      </c>
      <c r="BC74">
        <v>100</v>
      </c>
      <c r="BD74">
        <v>100</v>
      </c>
      <c r="BE74">
        <v>1</v>
      </c>
      <c r="BF74">
        <v>15000</v>
      </c>
      <c r="BG74">
        <v>1000</v>
      </c>
      <c r="BH74" s="8">
        <f>Granger_Inventory[[#This Row],[land_extract]]*Lookups!$B$3</f>
        <v>50447.583117676055</v>
      </c>
      <c r="BI74" s="8">
        <f>IF(Granger_Inventory[[#This Row],[bldg_style]]="",0,Lookups!$B$2)</f>
        <v>29703.559000000001</v>
      </c>
      <c r="BJ74" s="8">
        <f>_xlfn.IFNA(VLOOKUP(Granger_Inventory[[#This Row],[quality]],Lookups!$H$2:$J$14,3,FALSE),0)</f>
        <v>23737.786340274597</v>
      </c>
      <c r="BK74" s="8">
        <f>_xlfn.IFNA(VLOOKUP(Granger_Inventory[[#This Row],[condition]],Lookups!$H$17:$J$24,3,FALSE),0)</f>
        <v>33736</v>
      </c>
      <c r="BL74" s="8">
        <f>Granger_Inventory[[#This Row],[Age]]*Lookups!$B$16</f>
        <v>-17415.812399999999</v>
      </c>
      <c r="BM74" s="8">
        <f>Granger_Inventory[[#This Row],[living_area]]*Lookups!$B$17</f>
        <v>94114.799690999993</v>
      </c>
      <c r="BN74" s="8">
        <f>(Granger_Inventory[[#This Row],[att_gar]]+Granger_Inventory[[#This Row],[blt_gar]])*Lookups!$B$18</f>
        <v>0</v>
      </c>
      <c r="BO74" s="8">
        <f>Granger_Inventory[[#This Row],[Patio]]*Lookups!$B$19</f>
        <v>31774.331159999998</v>
      </c>
      <c r="BP74" s="8">
        <f>SUM(Granger_Inventory[[#This Row],[Intercept]:[Patio_Value]])*Granger_Inventory[[#This Row],[res_pct]]</f>
        <v>195650.66379127459</v>
      </c>
      <c r="BQ74" s="8">
        <f>Granger_Inventory[[#This Row],[land_value]]</f>
        <v>50447.583117676055</v>
      </c>
      <c r="BR74" s="4">
        <f>_xlfn.IFNA(VLOOKUP(Granger_Inventory[[#This Row],[quality]],Lookups!$A$25:$C$35,3,FALSE),1)</f>
        <v>0.77695375541795109</v>
      </c>
      <c r="BS74" s="4">
        <f>_xlfn.IFNA(VLOOKUP(Granger_Inventory[[#This Row],[condition]],Lookups!$A$38:$C$45,3,FALSE),1)</f>
        <v>0.92294678898076177</v>
      </c>
      <c r="BT74" s="4">
        <f>IF(Granger_Inventory[[#This Row],[decade]]="",1,_xlfn.IFNA(VLOOKUP(Granger_Inventory[[#This Row],[decade]],Lookups!$G$28:$I$42,3,FALSE),1))</f>
        <v>0.95234610137492615</v>
      </c>
      <c r="BU74" s="4">
        <f>_xlfn.IFNA(VLOOKUP(Granger_Inventory[[#This Row],[living_area_range]],Lookups!$A$48:$C$57,3,FALSE),1)</f>
        <v>0.97960506760539345</v>
      </c>
      <c r="BV74" s="4">
        <f>AVERAGE(Granger_Inventory[[#This Row],[qual_adj]:[living_range_adj]])</f>
        <v>0.90796292834475811</v>
      </c>
      <c r="BW74" s="8">
        <f>(Granger_Inventory[[#This Row],[sum_land]]-IF(Granger_Inventory[[#This Row],[no_utilities]]=1,12000,0))/IF(Granger_Inventory[[#This Row],[unbuildable]]=1,2,1)</f>
        <v>50447.583117676055</v>
      </c>
      <c r="BX74" s="8">
        <f>Granger_Inventory[[#This Row],[pre_res]]*Granger_Inventory[[#This Row],[overall_adj]]</f>
        <v>177643.5496285214</v>
      </c>
      <c r="BY74">
        <f>IF(ROUND(Granger_Inventory[[#This Row],[adj_land]]*Lookups!$I$45,-2)&lt;Granger_Inventory[[#This Row],[min_land]],Granger_Inventory[[#This Row],[min_land]],ROUND(Granger_Inventory[[#This Row],[adj_land]]*Lookups!$I$45,-2))</f>
        <v>47900</v>
      </c>
      <c r="BZ74">
        <f>ROUND(Granger_Inventory[[#This Row],[detatched_value]]*Lookups!$I$45,-2)</f>
        <v>32100</v>
      </c>
      <c r="CA74">
        <f>IF(ROUND(Granger_Inventory[[#This Row],[adj_res]]*Lookups!$I$45,-2)&lt;Granger_Inventory[[#This Row],[min_res]],Granger_Inventory[[#This Row],[min_res]],ROUND(Granger_Inventory[[#This Row],[adj_res]]*Lookups!$I$45,-2))</f>
        <v>168800</v>
      </c>
      <c r="CB74">
        <f>Granger_Inventory[[#This Row],[final_det]]+Granger_Inventory[[#This Row],[final_res]]</f>
        <v>200900</v>
      </c>
      <c r="CC74">
        <f>Granger_Inventory[[#This Row],[final_land]]+Granger_Inventory[[#This Row],[final_imp]]+Granger_Inventory[[#This Row],[crop_value]]</f>
        <v>248800</v>
      </c>
      <c r="CE74" t="str">
        <f t="shared" si="1"/>
        <v>update valuation set market_land =47900, market_bldg=200900, market_total =248800, market_mdno =402, market_date ='9/10/2023' where link_id = (select link_id from parcel where parcel_year = '2024' and parcel_id = '21101533442');</v>
      </c>
    </row>
    <row r="75" spans="1:83" x14ac:dyDescent="0.25">
      <c r="A75">
        <v>21101533443</v>
      </c>
      <c r="B75">
        <v>0.25</v>
      </c>
      <c r="C75">
        <v>11078</v>
      </c>
      <c r="D75" t="s">
        <v>137</v>
      </c>
      <c r="E75" t="s">
        <v>54</v>
      </c>
      <c r="F75" t="s">
        <v>54</v>
      </c>
      <c r="G75">
        <v>3</v>
      </c>
      <c r="H75" t="s">
        <v>55</v>
      </c>
      <c r="I75">
        <v>132900</v>
      </c>
      <c r="J75">
        <v>27400</v>
      </c>
      <c r="K75">
        <v>0.25</v>
      </c>
      <c r="L75">
        <f>IF(Granger_Inventory[[#This Row],[parcel_acres]]-Granger_Inventory[[#This Row],[non_valued_acres]] =0,0,LN(Granger_Inventory[[#This Row],[parcel_acres]]-Granger_Inventory[[#This Row],[non_valued_acres]]))</f>
        <v>-1.3862943611198906</v>
      </c>
      <c r="M75">
        <v>0</v>
      </c>
      <c r="N75">
        <v>0</v>
      </c>
      <c r="O75">
        <v>0</v>
      </c>
      <c r="P75">
        <v>47108.068500000001</v>
      </c>
      <c r="Q75">
        <v>122298</v>
      </c>
      <c r="R75">
        <f>(Granger_Inventory[[#This Row],[ln_acres]]*Granger_Inventory[[#This Row],[coeff]])+Granger_Inventory[[#This Row],[const]]</f>
        <v>56992.350275200457</v>
      </c>
      <c r="S75" t="s">
        <v>69</v>
      </c>
      <c r="T75">
        <v>1</v>
      </c>
      <c r="U75" t="s">
        <v>71</v>
      </c>
      <c r="V75" t="s">
        <v>77</v>
      </c>
      <c r="W75">
        <v>0</v>
      </c>
      <c r="X75">
        <v>0</v>
      </c>
      <c r="Y75">
        <v>49</v>
      </c>
      <c r="Z75">
        <v>68</v>
      </c>
      <c r="AA75">
        <v>70</v>
      </c>
      <c r="AB75">
        <v>1500</v>
      </c>
      <c r="AC75">
        <v>1382</v>
      </c>
      <c r="AD75">
        <v>1382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150</v>
      </c>
      <c r="AN75">
        <v>0</v>
      </c>
      <c r="AO75">
        <v>150</v>
      </c>
      <c r="AP75">
        <v>9</v>
      </c>
      <c r="AQ75">
        <v>0</v>
      </c>
      <c r="AR75">
        <v>0</v>
      </c>
      <c r="AS75" t="s">
        <v>59</v>
      </c>
      <c r="AT75">
        <v>1</v>
      </c>
      <c r="AU75" t="s">
        <v>76</v>
      </c>
      <c r="AV75" t="s">
        <v>61</v>
      </c>
      <c r="AW75">
        <v>0</v>
      </c>
      <c r="AX75">
        <v>3</v>
      </c>
      <c r="AY75">
        <v>0</v>
      </c>
      <c r="AZ75">
        <v>0</v>
      </c>
      <c r="BA75">
        <v>100</v>
      </c>
      <c r="BB75">
        <v>100</v>
      </c>
      <c r="BC75">
        <v>100</v>
      </c>
      <c r="BD75">
        <v>100</v>
      </c>
      <c r="BE75">
        <v>1</v>
      </c>
      <c r="BF75">
        <v>15000</v>
      </c>
      <c r="BG75">
        <v>1000</v>
      </c>
      <c r="BH75" s="8">
        <f>Granger_Inventory[[#This Row],[land_extract]]*Lookups!$B$3</f>
        <v>33952.098423325391</v>
      </c>
      <c r="BI75" s="8">
        <f>IF(Granger_Inventory[[#This Row],[bldg_style]]="",0,Lookups!$B$2)</f>
        <v>29703.559000000001</v>
      </c>
      <c r="BJ75" s="8">
        <f>_xlfn.IFNA(VLOOKUP(Granger_Inventory[[#This Row],[quality]],Lookups!$H$2:$J$14,3,FALSE),0)</f>
        <v>34195</v>
      </c>
      <c r="BK75" s="8">
        <f>_xlfn.IFNA(VLOOKUP(Granger_Inventory[[#This Row],[condition]],Lookups!$H$17:$J$24,3,FALSE),0)</f>
        <v>33736</v>
      </c>
      <c r="BL75" s="8">
        <f>Granger_Inventory[[#This Row],[Age]]*Lookups!$B$16</f>
        <v>-14098.514799999999</v>
      </c>
      <c r="BM75" s="8">
        <f>Granger_Inventory[[#This Row],[living_area]]*Lookups!$B$17</f>
        <v>92971.160237999997</v>
      </c>
      <c r="BN75" s="8">
        <f>(Granger_Inventory[[#This Row],[att_gar]]+Granger_Inventory[[#This Row],[blt_gar]])*Lookups!$B$18</f>
        <v>0</v>
      </c>
      <c r="BO75" s="8">
        <f>Granger_Inventory[[#This Row],[Patio]]*Lookups!$B$19</f>
        <v>8147.2643999999991</v>
      </c>
      <c r="BP75" s="8">
        <f>SUM(Granger_Inventory[[#This Row],[Intercept]:[Patio_Value]])*Granger_Inventory[[#This Row],[res_pct]]</f>
        <v>184654.46883799997</v>
      </c>
      <c r="BQ75" s="8">
        <f>Granger_Inventory[[#This Row],[land_value]]</f>
        <v>33952.098423325391</v>
      </c>
      <c r="BR75" s="4">
        <f>_xlfn.IFNA(VLOOKUP(Granger_Inventory[[#This Row],[quality]],Lookups!$A$25:$C$35,3,FALSE),1)</f>
        <v>0.98258795897788032</v>
      </c>
      <c r="BS75" s="4">
        <f>_xlfn.IFNA(VLOOKUP(Granger_Inventory[[#This Row],[condition]],Lookups!$A$38:$C$45,3,FALSE),1)</f>
        <v>0.92294678898076177</v>
      </c>
      <c r="BT75" s="4">
        <f>IF(Granger_Inventory[[#This Row],[decade]]="",1,_xlfn.IFNA(VLOOKUP(Granger_Inventory[[#This Row],[decade]],Lookups!$G$28:$I$42,3,FALSE),1))</f>
        <v>1.0270382440255921</v>
      </c>
      <c r="BU75" s="4">
        <f>_xlfn.IFNA(VLOOKUP(Granger_Inventory[[#This Row],[living_area_range]],Lookups!$A$48:$C$57,3,FALSE),1)</f>
        <v>0.97960506760539345</v>
      </c>
      <c r="BV75" s="4">
        <f>AVERAGE(Granger_Inventory[[#This Row],[qual_adj]:[living_range_adj]])</f>
        <v>0.97804451489740685</v>
      </c>
      <c r="BW75" s="8">
        <f>(Granger_Inventory[[#This Row],[sum_land]]-IF(Granger_Inventory[[#This Row],[no_utilities]]=1,12000,0))/IF(Granger_Inventory[[#This Row],[unbuildable]]=1,2,1)</f>
        <v>33952.098423325391</v>
      </c>
      <c r="BX75" s="8">
        <f>Granger_Inventory[[#This Row],[pre_res]]*Granger_Inventory[[#This Row],[overall_adj]]</f>
        <v>180600.29039830001</v>
      </c>
      <c r="BY75">
        <f>IF(ROUND(Granger_Inventory[[#This Row],[adj_land]]*Lookups!$I$45,-2)&lt;Granger_Inventory[[#This Row],[min_land]],Granger_Inventory[[#This Row],[min_land]],ROUND(Granger_Inventory[[#This Row],[adj_land]]*Lookups!$I$45,-2))</f>
        <v>32300</v>
      </c>
      <c r="BZ75">
        <f>ROUND(Granger_Inventory[[#This Row],[detatched_value]]*Lookups!$I$45,-2)</f>
        <v>0</v>
      </c>
      <c r="CA75">
        <f>IF(ROUND(Granger_Inventory[[#This Row],[adj_res]]*Lookups!$I$45,-2)&lt;Granger_Inventory[[#This Row],[min_res]],Granger_Inventory[[#This Row],[min_res]],ROUND(Granger_Inventory[[#This Row],[adj_res]]*Lookups!$I$45,-2))</f>
        <v>171600</v>
      </c>
      <c r="CB75">
        <f>Granger_Inventory[[#This Row],[final_det]]+Granger_Inventory[[#This Row],[final_res]]</f>
        <v>171600</v>
      </c>
      <c r="CC75">
        <f>Granger_Inventory[[#This Row],[final_land]]+Granger_Inventory[[#This Row],[final_imp]]+Granger_Inventory[[#This Row],[crop_value]]</f>
        <v>203900</v>
      </c>
      <c r="CE75" t="str">
        <f t="shared" si="1"/>
        <v>update valuation set market_land =32300, market_bldg=171600, market_total =203900, market_mdno =402, market_date ='9/10/2023' where link_id = (select link_id from parcel where parcel_year = '2024' and parcel_id = '21101533443');</v>
      </c>
    </row>
    <row r="76" spans="1:83" x14ac:dyDescent="0.25">
      <c r="A76">
        <v>21101533447</v>
      </c>
      <c r="B76">
        <v>0.22</v>
      </c>
      <c r="C76">
        <v>9565</v>
      </c>
      <c r="D76" t="s">
        <v>137</v>
      </c>
      <c r="E76" t="s">
        <v>54</v>
      </c>
      <c r="F76" t="s">
        <v>54</v>
      </c>
      <c r="G76">
        <v>3</v>
      </c>
      <c r="H76" t="s">
        <v>55</v>
      </c>
      <c r="I76">
        <v>111600</v>
      </c>
      <c r="J76">
        <v>26700</v>
      </c>
      <c r="K76">
        <v>0.22</v>
      </c>
      <c r="L76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76">
        <v>0</v>
      </c>
      <c r="N76">
        <v>0</v>
      </c>
      <c r="O76">
        <v>0</v>
      </c>
      <c r="P76">
        <v>47108.068500000001</v>
      </c>
      <c r="Q76">
        <v>122298</v>
      </c>
      <c r="R76">
        <f>(Granger_Inventory[[#This Row],[ln_acres]]*Granger_Inventory[[#This Row],[coeff]])+Granger_Inventory[[#This Row],[const]]</f>
        <v>50970.367053526847</v>
      </c>
      <c r="S76" t="s">
        <v>56</v>
      </c>
      <c r="T76">
        <v>1</v>
      </c>
      <c r="U76" t="s">
        <v>71</v>
      </c>
      <c r="V76" t="s">
        <v>77</v>
      </c>
      <c r="W76">
        <v>0</v>
      </c>
      <c r="X76">
        <v>0</v>
      </c>
      <c r="Y76">
        <v>44</v>
      </c>
      <c r="Z76">
        <v>46</v>
      </c>
      <c r="AA76">
        <v>50</v>
      </c>
      <c r="AB76">
        <v>1500</v>
      </c>
      <c r="AC76">
        <v>1300</v>
      </c>
      <c r="AD76">
        <v>1300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5</v>
      </c>
      <c r="AQ76">
        <v>1</v>
      </c>
      <c r="AR76">
        <v>0</v>
      </c>
      <c r="AS76" t="s">
        <v>59</v>
      </c>
      <c r="AT76">
        <v>1</v>
      </c>
      <c r="AU76" t="s">
        <v>60</v>
      </c>
      <c r="AV76" t="s">
        <v>61</v>
      </c>
      <c r="AW76">
        <v>0</v>
      </c>
      <c r="AX76">
        <v>3</v>
      </c>
      <c r="AY76">
        <v>0</v>
      </c>
      <c r="AZ76">
        <v>0</v>
      </c>
      <c r="BA76">
        <v>100</v>
      </c>
      <c r="BB76">
        <v>100</v>
      </c>
      <c r="BC76">
        <v>100</v>
      </c>
      <c r="BD76">
        <v>100</v>
      </c>
      <c r="BE76">
        <v>1</v>
      </c>
      <c r="BF76">
        <v>15000</v>
      </c>
      <c r="BG76">
        <v>1000</v>
      </c>
      <c r="BH76" s="8">
        <f>Granger_Inventory[[#This Row],[land_extract]]*Lookups!$B$3</f>
        <v>30364.617541091193</v>
      </c>
      <c r="BI76" s="8">
        <f>IF(Granger_Inventory[[#This Row],[bldg_style]]="",0,Lookups!$B$2)</f>
        <v>29703.559000000001</v>
      </c>
      <c r="BJ76" s="8">
        <f>_xlfn.IFNA(VLOOKUP(Granger_Inventory[[#This Row],[quality]],Lookups!$H$2:$J$14,3,FALSE),0)</f>
        <v>34195</v>
      </c>
      <c r="BK76" s="8">
        <f>_xlfn.IFNA(VLOOKUP(Granger_Inventory[[#This Row],[condition]],Lookups!$H$17:$J$24,3,FALSE),0)</f>
        <v>33736</v>
      </c>
      <c r="BL76" s="8">
        <f>Granger_Inventory[[#This Row],[Age]]*Lookups!$B$16</f>
        <v>-9537.230599999999</v>
      </c>
      <c r="BM76" s="8">
        <f>Granger_Inventory[[#This Row],[living_area]]*Lookups!$B$17</f>
        <v>87454.781699999992</v>
      </c>
      <c r="BN76" s="8">
        <f>(Granger_Inventory[[#This Row],[att_gar]]+Granger_Inventory[[#This Row],[blt_gar]])*Lookups!$B$18</f>
        <v>0</v>
      </c>
      <c r="BO76" s="8">
        <f>Granger_Inventory[[#This Row],[Patio]]*Lookups!$B$19</f>
        <v>0</v>
      </c>
      <c r="BP76" s="8">
        <f>SUM(Granger_Inventory[[#This Row],[Intercept]:[Patio_Value]])*Granger_Inventory[[#This Row],[res_pct]]</f>
        <v>175552.11009999999</v>
      </c>
      <c r="BQ76" s="8">
        <f>Granger_Inventory[[#This Row],[land_value]]</f>
        <v>30364.617541091193</v>
      </c>
      <c r="BR76" s="4">
        <f>_xlfn.IFNA(VLOOKUP(Granger_Inventory[[#This Row],[quality]],Lookups!$A$25:$C$35,3,FALSE),1)</f>
        <v>0.98258795897788032</v>
      </c>
      <c r="BS76" s="4">
        <f>_xlfn.IFNA(VLOOKUP(Granger_Inventory[[#This Row],[condition]],Lookups!$A$38:$C$45,3,FALSE),1)</f>
        <v>0.92294678898076177</v>
      </c>
      <c r="BT76" s="4">
        <f>IF(Granger_Inventory[[#This Row],[decade]]="",1,_xlfn.IFNA(VLOOKUP(Granger_Inventory[[#This Row],[decade]],Lookups!$G$28:$I$42,3,FALSE),1))</f>
        <v>1.2441094871772171</v>
      </c>
      <c r="BU76" s="4">
        <f>_xlfn.IFNA(VLOOKUP(Granger_Inventory[[#This Row],[living_area_range]],Lookups!$A$48:$C$57,3,FALSE),1)</f>
        <v>0.97960506760539345</v>
      </c>
      <c r="BV76" s="4">
        <f>AVERAGE(Granger_Inventory[[#This Row],[qual_adj]:[living_range_adj]])</f>
        <v>1.0323123256853131</v>
      </c>
      <c r="BW76" s="8">
        <f>(Granger_Inventory[[#This Row],[sum_land]]-IF(Granger_Inventory[[#This Row],[no_utilities]]=1,12000,0))/IF(Granger_Inventory[[#This Row],[unbuildable]]=1,2,1)</f>
        <v>30364.617541091193</v>
      </c>
      <c r="BX76" s="8">
        <f>Granger_Inventory[[#This Row],[pre_res]]*Granger_Inventory[[#This Row],[overall_adj]]</f>
        <v>181224.60705629512</v>
      </c>
      <c r="BY76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76">
        <f>ROUND(Granger_Inventory[[#This Row],[detatched_value]]*Lookups!$I$45,-2)</f>
        <v>0</v>
      </c>
      <c r="CA76">
        <f>IF(ROUND(Granger_Inventory[[#This Row],[adj_res]]*Lookups!$I$45,-2)&lt;Granger_Inventory[[#This Row],[min_res]],Granger_Inventory[[#This Row],[min_res]],ROUND(Granger_Inventory[[#This Row],[adj_res]]*Lookups!$I$45,-2))</f>
        <v>172200</v>
      </c>
      <c r="CB76">
        <f>Granger_Inventory[[#This Row],[final_det]]+Granger_Inventory[[#This Row],[final_res]]</f>
        <v>172200</v>
      </c>
      <c r="CC76">
        <f>Granger_Inventory[[#This Row],[final_land]]+Granger_Inventory[[#This Row],[final_imp]]+Granger_Inventory[[#This Row],[crop_value]]</f>
        <v>201000</v>
      </c>
      <c r="CE76" t="str">
        <f t="shared" si="1"/>
        <v>update valuation set market_land =28800, market_bldg=172200, market_total =201000, market_mdno =402, market_date ='9/10/2023' where link_id = (select link_id from parcel where parcel_year = '2024' and parcel_id = '21101533447');</v>
      </c>
    </row>
    <row r="77" spans="1:83" x14ac:dyDescent="0.25">
      <c r="A77">
        <v>21101533448</v>
      </c>
      <c r="B77">
        <v>0.21</v>
      </c>
      <c r="C77">
        <v>9039</v>
      </c>
      <c r="D77" t="s">
        <v>137</v>
      </c>
      <c r="E77" t="s">
        <v>54</v>
      </c>
      <c r="F77" t="s">
        <v>54</v>
      </c>
      <c r="G77">
        <v>3</v>
      </c>
      <c r="H77" t="s">
        <v>55</v>
      </c>
      <c r="I77">
        <v>122000</v>
      </c>
      <c r="J77">
        <v>26500</v>
      </c>
      <c r="K77">
        <v>0.21</v>
      </c>
      <c r="L77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77">
        <v>0</v>
      </c>
      <c r="N77">
        <v>0</v>
      </c>
      <c r="O77">
        <v>0</v>
      </c>
      <c r="P77">
        <v>47108.068500000001</v>
      </c>
      <c r="Q77">
        <v>122298</v>
      </c>
      <c r="R77">
        <f>(Granger_Inventory[[#This Row],[ln_acres]]*Granger_Inventory[[#This Row],[coeff]])+Granger_Inventory[[#This Row],[const]]</f>
        <v>48778.898970377239</v>
      </c>
      <c r="S77" t="s">
        <v>56</v>
      </c>
      <c r="T77">
        <v>1</v>
      </c>
      <c r="U77" t="s">
        <v>64</v>
      </c>
      <c r="V77" t="s">
        <v>77</v>
      </c>
      <c r="W77">
        <v>0</v>
      </c>
      <c r="X77">
        <v>0</v>
      </c>
      <c r="Y77">
        <v>43</v>
      </c>
      <c r="Z77">
        <v>43</v>
      </c>
      <c r="AA77">
        <v>50</v>
      </c>
      <c r="AB77">
        <v>1500</v>
      </c>
      <c r="AC77">
        <v>1034</v>
      </c>
      <c r="AD77">
        <v>1034</v>
      </c>
      <c r="AE77">
        <v>0</v>
      </c>
      <c r="AF77">
        <v>0</v>
      </c>
      <c r="AG77">
        <v>0</v>
      </c>
      <c r="AH77">
        <v>0</v>
      </c>
      <c r="AI77">
        <v>264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5</v>
      </c>
      <c r="AQ77">
        <v>0</v>
      </c>
      <c r="AR77">
        <v>0</v>
      </c>
      <c r="AS77" t="s">
        <v>59</v>
      </c>
      <c r="AT77">
        <v>1</v>
      </c>
      <c r="AU77" t="s">
        <v>60</v>
      </c>
      <c r="AV77" t="s">
        <v>61</v>
      </c>
      <c r="AW77">
        <v>0</v>
      </c>
      <c r="AX77">
        <v>3</v>
      </c>
      <c r="AY77">
        <v>0</v>
      </c>
      <c r="AZ77">
        <v>0</v>
      </c>
      <c r="BA77">
        <v>100</v>
      </c>
      <c r="BB77">
        <v>100</v>
      </c>
      <c r="BC77">
        <v>100</v>
      </c>
      <c r="BD77">
        <v>100</v>
      </c>
      <c r="BE77">
        <v>1</v>
      </c>
      <c r="BF77">
        <v>15000</v>
      </c>
      <c r="BG77">
        <v>1000</v>
      </c>
      <c r="BH77" s="8">
        <f>Granger_Inventory[[#This Row],[land_extract]]*Lookups!$B$3</f>
        <v>29059.09250674201</v>
      </c>
      <c r="BI77" s="8">
        <f>IF(Granger_Inventory[[#This Row],[bldg_style]]="",0,Lookups!$B$2)</f>
        <v>29703.559000000001</v>
      </c>
      <c r="BJ77" s="8">
        <f>_xlfn.IFNA(VLOOKUP(Granger_Inventory[[#This Row],[quality]],Lookups!$H$2:$J$14,3,FALSE),0)</f>
        <v>36568</v>
      </c>
      <c r="BK77" s="8">
        <f>_xlfn.IFNA(VLOOKUP(Granger_Inventory[[#This Row],[condition]],Lookups!$H$17:$J$24,3,FALSE),0)</f>
        <v>33736</v>
      </c>
      <c r="BL77" s="8">
        <f>Granger_Inventory[[#This Row],[Age]]*Lookups!$B$16</f>
        <v>-8915.2372999999989</v>
      </c>
      <c r="BM77" s="8">
        <f>Granger_Inventory[[#This Row],[living_area]]*Lookups!$B$17</f>
        <v>69560.187905999992</v>
      </c>
      <c r="BN77" s="8">
        <f>(Granger_Inventory[[#This Row],[att_gar]]+Granger_Inventory[[#This Row],[blt_gar]])*Lookups!$B$18</f>
        <v>12790.162704</v>
      </c>
      <c r="BO77" s="8">
        <f>Granger_Inventory[[#This Row],[Patio]]*Lookups!$B$19</f>
        <v>0</v>
      </c>
      <c r="BP77" s="8">
        <f>SUM(Granger_Inventory[[#This Row],[Intercept]:[Patio_Value]])*Granger_Inventory[[#This Row],[res_pct]]</f>
        <v>173442.67230999999</v>
      </c>
      <c r="BQ77" s="8">
        <f>Granger_Inventory[[#This Row],[land_value]]</f>
        <v>29059.09250674201</v>
      </c>
      <c r="BR77" s="4">
        <f>_xlfn.IFNA(VLOOKUP(Granger_Inventory[[#This Row],[quality]],Lookups!$A$25:$C$35,3,FALSE),1)</f>
        <v>0.99049976351917957</v>
      </c>
      <c r="BS77" s="4">
        <f>_xlfn.IFNA(VLOOKUP(Granger_Inventory[[#This Row],[condition]],Lookups!$A$38:$C$45,3,FALSE),1)</f>
        <v>0.92294678898076177</v>
      </c>
      <c r="BT77" s="4">
        <f>IF(Granger_Inventory[[#This Row],[decade]]="",1,_xlfn.IFNA(VLOOKUP(Granger_Inventory[[#This Row],[decade]],Lookups!$G$28:$I$42,3,FALSE),1))</f>
        <v>1.2441094871772171</v>
      </c>
      <c r="BU77" s="4">
        <f>_xlfn.IFNA(VLOOKUP(Granger_Inventory[[#This Row],[living_area_range]],Lookups!$A$48:$C$57,3,FALSE),1)</f>
        <v>0.97960506760539345</v>
      </c>
      <c r="BV77" s="4">
        <f>AVERAGE(Granger_Inventory[[#This Row],[qual_adj]:[living_range_adj]])</f>
        <v>1.0342902768206379</v>
      </c>
      <c r="BW77" s="8">
        <f>(Granger_Inventory[[#This Row],[sum_land]]-IF(Granger_Inventory[[#This Row],[no_utilities]]=1,12000,0))/IF(Granger_Inventory[[#This Row],[unbuildable]]=1,2,1)</f>
        <v>29059.09250674201</v>
      </c>
      <c r="BX77" s="8">
        <f>Granger_Inventory[[#This Row],[pre_res]]*Granger_Inventory[[#This Row],[overall_adj]]</f>
        <v>179390.06955602107</v>
      </c>
      <c r="BY77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77">
        <f>ROUND(Granger_Inventory[[#This Row],[detatched_value]]*Lookups!$I$45,-2)</f>
        <v>0</v>
      </c>
      <c r="CA77">
        <f>IF(ROUND(Granger_Inventory[[#This Row],[adj_res]]*Lookups!$I$45,-2)&lt;Granger_Inventory[[#This Row],[min_res]],Granger_Inventory[[#This Row],[min_res]],ROUND(Granger_Inventory[[#This Row],[adj_res]]*Lookups!$I$45,-2))</f>
        <v>170400</v>
      </c>
      <c r="CB77">
        <f>Granger_Inventory[[#This Row],[final_det]]+Granger_Inventory[[#This Row],[final_res]]</f>
        <v>170400</v>
      </c>
      <c r="CC77">
        <f>Granger_Inventory[[#This Row],[final_land]]+Granger_Inventory[[#This Row],[final_imp]]+Granger_Inventory[[#This Row],[crop_value]]</f>
        <v>198000</v>
      </c>
      <c r="CE77" t="str">
        <f t="shared" si="1"/>
        <v>update valuation set market_land =27600, market_bldg=170400, market_total =198000, market_mdno =402, market_date ='9/10/2023' where link_id = (select link_id from parcel where parcel_year = '2024' and parcel_id = '21101533448');</v>
      </c>
    </row>
    <row r="78" spans="1:83" x14ac:dyDescent="0.25">
      <c r="A78">
        <v>21101533452</v>
      </c>
      <c r="B78">
        <v>0.53</v>
      </c>
      <c r="C78">
        <v>23230</v>
      </c>
      <c r="D78" t="s">
        <v>137</v>
      </c>
      <c r="E78" t="s">
        <v>54</v>
      </c>
      <c r="F78" t="s">
        <v>54</v>
      </c>
      <c r="G78">
        <v>3</v>
      </c>
      <c r="H78" t="s">
        <v>55</v>
      </c>
      <c r="I78">
        <v>198900</v>
      </c>
      <c r="J78">
        <v>31600</v>
      </c>
      <c r="K78">
        <v>0.53</v>
      </c>
      <c r="L78">
        <f>IF(Granger_Inventory[[#This Row],[parcel_acres]]-Granger_Inventory[[#This Row],[non_valued_acres]] =0,0,LN(Granger_Inventory[[#This Row],[parcel_acres]]-Granger_Inventory[[#This Row],[non_valued_acres]]))</f>
        <v>-0.6348782724359695</v>
      </c>
      <c r="M78">
        <v>0</v>
      </c>
      <c r="N78">
        <v>0</v>
      </c>
      <c r="O78">
        <v>0</v>
      </c>
      <c r="P78">
        <v>47108.068500000001</v>
      </c>
      <c r="Q78">
        <v>122298</v>
      </c>
      <c r="R78">
        <f>(Granger_Inventory[[#This Row],[ln_acres]]*Granger_Inventory[[#This Row],[coeff]])+Granger_Inventory[[#This Row],[const]]</f>
        <v>92390.110852924685</v>
      </c>
      <c r="S78" t="s">
        <v>56</v>
      </c>
      <c r="T78">
        <v>1</v>
      </c>
      <c r="U78" t="s">
        <v>64</v>
      </c>
      <c r="V78" t="s">
        <v>79</v>
      </c>
      <c r="W78">
        <v>0</v>
      </c>
      <c r="X78">
        <v>0</v>
      </c>
      <c r="Y78">
        <v>43</v>
      </c>
      <c r="Z78">
        <v>44</v>
      </c>
      <c r="AA78">
        <v>50</v>
      </c>
      <c r="AB78">
        <v>2500</v>
      </c>
      <c r="AC78">
        <v>2010</v>
      </c>
      <c r="AD78">
        <v>2010</v>
      </c>
      <c r="AE78">
        <v>0</v>
      </c>
      <c r="AF78">
        <v>0</v>
      </c>
      <c r="AG78">
        <v>0</v>
      </c>
      <c r="AH78">
        <v>0</v>
      </c>
      <c r="AI78">
        <v>575</v>
      </c>
      <c r="AJ78">
        <v>0</v>
      </c>
      <c r="AK78">
        <v>0</v>
      </c>
      <c r="AL78">
        <v>0</v>
      </c>
      <c r="AM78">
        <v>280</v>
      </c>
      <c r="AN78">
        <v>0</v>
      </c>
      <c r="AO78">
        <v>280</v>
      </c>
      <c r="AP78">
        <v>8</v>
      </c>
      <c r="AQ78">
        <v>0</v>
      </c>
      <c r="AR78">
        <v>0</v>
      </c>
      <c r="AS78" t="s">
        <v>59</v>
      </c>
      <c r="AT78">
        <v>1</v>
      </c>
      <c r="AU78" t="s">
        <v>60</v>
      </c>
      <c r="AV78" t="s">
        <v>65</v>
      </c>
      <c r="AW78">
        <v>0</v>
      </c>
      <c r="AX78">
        <v>3</v>
      </c>
      <c r="AY78">
        <v>0</v>
      </c>
      <c r="AZ78">
        <v>0</v>
      </c>
      <c r="BA78">
        <v>100</v>
      </c>
      <c r="BB78">
        <v>100</v>
      </c>
      <c r="BC78">
        <v>100</v>
      </c>
      <c r="BD78">
        <v>100</v>
      </c>
      <c r="BE78">
        <v>1</v>
      </c>
      <c r="BF78">
        <v>15000</v>
      </c>
      <c r="BG78">
        <v>1000</v>
      </c>
      <c r="BH78" s="8">
        <f>Granger_Inventory[[#This Row],[land_extract]]*Lookups!$B$3</f>
        <v>55039.634650501503</v>
      </c>
      <c r="BI78" s="8">
        <f>IF(Granger_Inventory[[#This Row],[bldg_style]]="",0,Lookups!$B$2)</f>
        <v>29703.559000000001</v>
      </c>
      <c r="BJ78" s="8">
        <f>_xlfn.IFNA(VLOOKUP(Granger_Inventory[[#This Row],[quality]],Lookups!$H$2:$J$14,3,FALSE),0)</f>
        <v>36568</v>
      </c>
      <c r="BK78" s="8">
        <f>_xlfn.IFNA(VLOOKUP(Granger_Inventory[[#This Row],[condition]],Lookups!$H$17:$J$24,3,FALSE),0)</f>
        <v>86727</v>
      </c>
      <c r="BL78" s="8">
        <f>Granger_Inventory[[#This Row],[Age]]*Lookups!$B$16</f>
        <v>-9122.5684000000001</v>
      </c>
      <c r="BM78" s="8">
        <f>Granger_Inventory[[#This Row],[living_area]]*Lookups!$B$17</f>
        <v>135218.54709000001</v>
      </c>
      <c r="BN78" s="8">
        <f>(Granger_Inventory[[#This Row],[att_gar]]+Granger_Inventory[[#This Row],[blt_gar]])*Lookups!$B$18</f>
        <v>27857.361950000002</v>
      </c>
      <c r="BO78" s="8">
        <f>Granger_Inventory[[#This Row],[Patio]]*Lookups!$B$19</f>
        <v>15208.226879999998</v>
      </c>
      <c r="BP78" s="8">
        <f>SUM(Granger_Inventory[[#This Row],[Intercept]:[Patio_Value]])*Granger_Inventory[[#This Row],[res_pct]]</f>
        <v>322160.12651999999</v>
      </c>
      <c r="BQ78" s="8">
        <f>Granger_Inventory[[#This Row],[land_value]]</f>
        <v>55039.634650501503</v>
      </c>
      <c r="BR78" s="4">
        <f>_xlfn.IFNA(VLOOKUP(Granger_Inventory[[#This Row],[quality]],Lookups!$A$25:$C$35,3,FALSE),1)</f>
        <v>0.99049976351917957</v>
      </c>
      <c r="BS78" s="4">
        <f>_xlfn.IFNA(VLOOKUP(Granger_Inventory[[#This Row],[condition]],Lookups!$A$38:$C$45,3,FALSE),1)</f>
        <v>0.85322907131620684</v>
      </c>
      <c r="BT78" s="4">
        <f>IF(Granger_Inventory[[#This Row],[decade]]="",1,_xlfn.IFNA(VLOOKUP(Granger_Inventory[[#This Row],[decade]],Lookups!$G$28:$I$42,3,FALSE),1))</f>
        <v>1.2441094871772171</v>
      </c>
      <c r="BU78" s="4">
        <f>_xlfn.IFNA(VLOOKUP(Granger_Inventory[[#This Row],[living_area_range]],Lookups!$A$48:$C$57,3,FALSE),1)</f>
        <v>1.0000039906678986</v>
      </c>
      <c r="BV78" s="4">
        <f>AVERAGE(Granger_Inventory[[#This Row],[qual_adj]:[living_range_adj]])</f>
        <v>1.0219605781701255</v>
      </c>
      <c r="BW78" s="8">
        <f>(Granger_Inventory[[#This Row],[sum_land]]-IF(Granger_Inventory[[#This Row],[no_utilities]]=1,12000,0))/IF(Granger_Inventory[[#This Row],[unbuildable]]=1,2,1)</f>
        <v>55039.634650501503</v>
      </c>
      <c r="BX78" s="8">
        <f>Granger_Inventory[[#This Row],[pre_res]]*Granger_Inventory[[#This Row],[overall_adj]]</f>
        <v>329234.94916173996</v>
      </c>
      <c r="BY78">
        <f>IF(ROUND(Granger_Inventory[[#This Row],[adj_land]]*Lookups!$I$45,-2)&lt;Granger_Inventory[[#This Row],[min_land]],Granger_Inventory[[#This Row],[min_land]],ROUND(Granger_Inventory[[#This Row],[adj_land]]*Lookups!$I$45,-2))</f>
        <v>52300</v>
      </c>
      <c r="BZ78">
        <f>ROUND(Granger_Inventory[[#This Row],[detatched_value]]*Lookups!$I$45,-2)</f>
        <v>0</v>
      </c>
      <c r="CA78">
        <f>IF(ROUND(Granger_Inventory[[#This Row],[adj_res]]*Lookups!$I$45,-2)&lt;Granger_Inventory[[#This Row],[min_res]],Granger_Inventory[[#This Row],[min_res]],ROUND(Granger_Inventory[[#This Row],[adj_res]]*Lookups!$I$45,-2))</f>
        <v>312800</v>
      </c>
      <c r="CB78">
        <f>Granger_Inventory[[#This Row],[final_det]]+Granger_Inventory[[#This Row],[final_res]]</f>
        <v>312800</v>
      </c>
      <c r="CC78">
        <f>Granger_Inventory[[#This Row],[final_land]]+Granger_Inventory[[#This Row],[final_imp]]+Granger_Inventory[[#This Row],[crop_value]]</f>
        <v>365100</v>
      </c>
      <c r="CE78" t="str">
        <f t="shared" si="1"/>
        <v>update valuation set market_land =52300, market_bldg=312800, market_total =365100, market_mdno =402, market_date ='9/10/2023' where link_id = (select link_id from parcel where parcel_year = '2024' and parcel_id = '21101533452');</v>
      </c>
    </row>
    <row r="79" spans="1:83" x14ac:dyDescent="0.25">
      <c r="A79">
        <v>21101533454</v>
      </c>
      <c r="B79">
        <v>0.27</v>
      </c>
      <c r="C79">
        <v>11547</v>
      </c>
      <c r="D79" t="s">
        <v>137</v>
      </c>
      <c r="E79" t="s">
        <v>54</v>
      </c>
      <c r="F79" t="s">
        <v>54</v>
      </c>
      <c r="G79">
        <v>3</v>
      </c>
      <c r="H79" t="s">
        <v>55</v>
      </c>
      <c r="I79">
        <v>81200</v>
      </c>
      <c r="J79">
        <v>27900</v>
      </c>
      <c r="K79">
        <v>0.27</v>
      </c>
      <c r="L79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79">
        <v>0</v>
      </c>
      <c r="N79">
        <v>0</v>
      </c>
      <c r="O79">
        <v>0</v>
      </c>
      <c r="P79">
        <v>47108.068500000001</v>
      </c>
      <c r="Q79">
        <v>122298</v>
      </c>
      <c r="R79">
        <f>(Granger_Inventory[[#This Row],[ln_acres]]*Granger_Inventory[[#This Row],[coeff]])+Granger_Inventory[[#This Row],[const]]</f>
        <v>60617.836272872511</v>
      </c>
      <c r="S79" t="s">
        <v>62</v>
      </c>
      <c r="T79">
        <v>1</v>
      </c>
      <c r="U79" t="s">
        <v>106</v>
      </c>
      <c r="V79" t="s">
        <v>79</v>
      </c>
      <c r="W79">
        <v>0</v>
      </c>
      <c r="X79">
        <v>0</v>
      </c>
      <c r="Y79">
        <v>53</v>
      </c>
      <c r="Z79">
        <v>93</v>
      </c>
      <c r="AA79">
        <v>100</v>
      </c>
      <c r="AB79">
        <v>1500</v>
      </c>
      <c r="AC79">
        <v>1203</v>
      </c>
      <c r="AD79">
        <v>1203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72</v>
      </c>
      <c r="AO79">
        <v>0</v>
      </c>
      <c r="AP79">
        <v>5</v>
      </c>
      <c r="AQ79">
        <v>0</v>
      </c>
      <c r="AR79">
        <v>0</v>
      </c>
      <c r="AS79" t="s">
        <v>59</v>
      </c>
      <c r="AT79">
        <v>1</v>
      </c>
      <c r="AU79" t="s">
        <v>60</v>
      </c>
      <c r="AV79" t="s">
        <v>61</v>
      </c>
      <c r="AW79">
        <v>0</v>
      </c>
      <c r="AX79">
        <v>3</v>
      </c>
      <c r="AY79">
        <v>0</v>
      </c>
      <c r="AZ79">
        <v>0</v>
      </c>
      <c r="BA79">
        <v>100</v>
      </c>
      <c r="BB79">
        <v>100</v>
      </c>
      <c r="BC79">
        <v>100</v>
      </c>
      <c r="BD79">
        <v>100</v>
      </c>
      <c r="BE79">
        <v>1</v>
      </c>
      <c r="BF79">
        <v>15000</v>
      </c>
      <c r="BG79">
        <v>1000</v>
      </c>
      <c r="BH79" s="8">
        <f>Granger_Inventory[[#This Row],[land_extract]]*Lookups!$B$3</f>
        <v>36111.912097107357</v>
      </c>
      <c r="BI79" s="8">
        <f>IF(Granger_Inventory[[#This Row],[bldg_style]]="",0,Lookups!$B$2)</f>
        <v>29703.559000000001</v>
      </c>
      <c r="BJ79" s="8">
        <f>_xlfn.IFNA(VLOOKUP(Granger_Inventory[[#This Row],[quality]],Lookups!$H$2:$J$14,3,FALSE),0)</f>
        <v>17985.540667792327</v>
      </c>
      <c r="BK79" s="8">
        <f>_xlfn.IFNA(VLOOKUP(Granger_Inventory[[#This Row],[condition]],Lookups!$H$17:$J$24,3,FALSE),0)</f>
        <v>86727</v>
      </c>
      <c r="BL79" s="8">
        <f>Granger_Inventory[[#This Row],[Age]]*Lookups!$B$16</f>
        <v>-19281.792300000001</v>
      </c>
      <c r="BM79" s="8">
        <f>Granger_Inventory[[#This Row],[living_area]]*Lookups!$B$17</f>
        <v>80929.309527000005</v>
      </c>
      <c r="BN79" s="8">
        <f>(Granger_Inventory[[#This Row],[att_gar]]+Granger_Inventory[[#This Row],[blt_gar]])*Lookups!$B$18</f>
        <v>0</v>
      </c>
      <c r="BO79" s="8">
        <f>Granger_Inventory[[#This Row],[Patio]]*Lookups!$B$19</f>
        <v>0</v>
      </c>
      <c r="BP79" s="8">
        <f>SUM(Granger_Inventory[[#This Row],[Intercept]:[Patio_Value]])*Granger_Inventory[[#This Row],[res_pct]]</f>
        <v>196063.61689479233</v>
      </c>
      <c r="BQ79" s="8">
        <f>Granger_Inventory[[#This Row],[land_value]]</f>
        <v>36111.912097107357</v>
      </c>
      <c r="BR79" s="4">
        <f>_xlfn.IFNA(VLOOKUP(Granger_Inventory[[#This Row],[quality]],Lookups!$A$25:$C$35,3,FALSE),1)</f>
        <v>0.77695375541795109</v>
      </c>
      <c r="BS79" s="4">
        <f>_xlfn.IFNA(VLOOKUP(Granger_Inventory[[#This Row],[condition]],Lookups!$A$38:$C$45,3,FALSE),1)</f>
        <v>0.85322907131620684</v>
      </c>
      <c r="BT79" s="4">
        <f>IF(Granger_Inventory[[#This Row],[decade]]="",1,_xlfn.IFNA(VLOOKUP(Granger_Inventory[[#This Row],[decade]],Lookups!$G$28:$I$42,3,FALSE),1))</f>
        <v>0.879441629375324</v>
      </c>
      <c r="BU79" s="4">
        <f>_xlfn.IFNA(VLOOKUP(Granger_Inventory[[#This Row],[living_area_range]],Lookups!$A$48:$C$57,3,FALSE),1)</f>
        <v>0.97960506760539345</v>
      </c>
      <c r="BV79" s="4">
        <f>AVERAGE(Granger_Inventory[[#This Row],[qual_adj]:[living_range_adj]])</f>
        <v>0.87230738092871896</v>
      </c>
      <c r="BW79" s="8">
        <f>(Granger_Inventory[[#This Row],[sum_land]]-IF(Granger_Inventory[[#This Row],[no_utilities]]=1,12000,0))/IF(Granger_Inventory[[#This Row],[unbuildable]]=1,2,1)</f>
        <v>36111.912097107357</v>
      </c>
      <c r="BX79" s="8">
        <f>Granger_Inventory[[#This Row],[pre_res]]*Granger_Inventory[[#This Row],[overall_adj]]</f>
        <v>171027.74014890802</v>
      </c>
      <c r="BY79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79">
        <f>ROUND(Granger_Inventory[[#This Row],[detatched_value]]*Lookups!$I$45,-2)</f>
        <v>0</v>
      </c>
      <c r="CA79">
        <f>IF(ROUND(Granger_Inventory[[#This Row],[adj_res]]*Lookups!$I$45,-2)&lt;Granger_Inventory[[#This Row],[min_res]],Granger_Inventory[[#This Row],[min_res]],ROUND(Granger_Inventory[[#This Row],[adj_res]]*Lookups!$I$45,-2))</f>
        <v>162500</v>
      </c>
      <c r="CB79">
        <f>Granger_Inventory[[#This Row],[final_det]]+Granger_Inventory[[#This Row],[final_res]]</f>
        <v>162500</v>
      </c>
      <c r="CC79">
        <f>Granger_Inventory[[#This Row],[final_land]]+Granger_Inventory[[#This Row],[final_imp]]+Granger_Inventory[[#This Row],[crop_value]]</f>
        <v>196800</v>
      </c>
      <c r="CE79" t="str">
        <f t="shared" si="1"/>
        <v>update valuation set market_land =34300, market_bldg=162500, market_total =196800, market_mdno =402, market_date ='9/10/2023' where link_id = (select link_id from parcel where parcel_year = '2024' and parcel_id = '21101533454');</v>
      </c>
    </row>
    <row r="80" spans="1:83" x14ac:dyDescent="0.25">
      <c r="A80">
        <v>21101533455</v>
      </c>
      <c r="B80">
        <v>0.2</v>
      </c>
      <c r="C80">
        <v>8888</v>
      </c>
      <c r="D80" t="s">
        <v>137</v>
      </c>
      <c r="E80" t="s">
        <v>54</v>
      </c>
      <c r="F80" t="s">
        <v>54</v>
      </c>
      <c r="G80">
        <v>3</v>
      </c>
      <c r="H80" t="s">
        <v>55</v>
      </c>
      <c r="I80">
        <v>143000</v>
      </c>
      <c r="J80">
        <v>26200</v>
      </c>
      <c r="K80">
        <v>0.2</v>
      </c>
      <c r="L80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80">
        <v>0</v>
      </c>
      <c r="N80">
        <v>0</v>
      </c>
      <c r="O80">
        <v>0</v>
      </c>
      <c r="P80">
        <v>47108.068500000001</v>
      </c>
      <c r="Q80">
        <v>122298</v>
      </c>
      <c r="R80">
        <f>(Granger_Inventory[[#This Row],[ln_acres]]*Granger_Inventory[[#This Row],[coeff]])+Granger_Inventory[[#This Row],[const]]</f>
        <v>46480.488574557399</v>
      </c>
      <c r="S80" t="s">
        <v>56</v>
      </c>
      <c r="T80">
        <v>1</v>
      </c>
      <c r="U80" t="s">
        <v>64</v>
      </c>
      <c r="V80" t="s">
        <v>77</v>
      </c>
      <c r="W80">
        <v>0</v>
      </c>
      <c r="X80">
        <v>0</v>
      </c>
      <c r="Y80">
        <v>29</v>
      </c>
      <c r="Z80">
        <v>29</v>
      </c>
      <c r="AA80">
        <v>30</v>
      </c>
      <c r="AB80">
        <v>1500</v>
      </c>
      <c r="AC80">
        <v>1432</v>
      </c>
      <c r="AD80">
        <v>1432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8</v>
      </c>
      <c r="AQ80">
        <v>0</v>
      </c>
      <c r="AR80">
        <v>0</v>
      </c>
      <c r="AS80" t="s">
        <v>59</v>
      </c>
      <c r="AT80">
        <v>1</v>
      </c>
      <c r="AU80" t="s">
        <v>60</v>
      </c>
      <c r="AV80" t="s">
        <v>65</v>
      </c>
      <c r="AW80">
        <v>1</v>
      </c>
      <c r="AX80">
        <v>3</v>
      </c>
      <c r="AY80">
        <v>0</v>
      </c>
      <c r="AZ80">
        <v>0</v>
      </c>
      <c r="BA80">
        <v>100</v>
      </c>
      <c r="BB80">
        <v>100</v>
      </c>
      <c r="BC80">
        <v>100</v>
      </c>
      <c r="BD80">
        <v>100</v>
      </c>
      <c r="BE80">
        <v>1</v>
      </c>
      <c r="BF80">
        <v>15000</v>
      </c>
      <c r="BG80">
        <v>1000</v>
      </c>
      <c r="BH80" s="8">
        <f>Granger_Inventory[[#This Row],[land_extract]]*Lookups!$B$3</f>
        <v>27689.858642911939</v>
      </c>
      <c r="BI80" s="8">
        <f>IF(Granger_Inventory[[#This Row],[bldg_style]]="",0,Lookups!$B$2)</f>
        <v>29703.559000000001</v>
      </c>
      <c r="BJ80" s="8">
        <f>_xlfn.IFNA(VLOOKUP(Granger_Inventory[[#This Row],[quality]],Lookups!$H$2:$J$14,3,FALSE),0)</f>
        <v>36568</v>
      </c>
      <c r="BK80" s="8">
        <f>_xlfn.IFNA(VLOOKUP(Granger_Inventory[[#This Row],[condition]],Lookups!$H$17:$J$24,3,FALSE),0)</f>
        <v>33736</v>
      </c>
      <c r="BL80" s="8">
        <f>Granger_Inventory[[#This Row],[Age]]*Lookups!$B$16</f>
        <v>-6012.6018999999997</v>
      </c>
      <c r="BM80" s="8">
        <f>Granger_Inventory[[#This Row],[living_area]]*Lookups!$B$17</f>
        <v>96334.805687999993</v>
      </c>
      <c r="BN80" s="8">
        <f>(Granger_Inventory[[#This Row],[att_gar]]+Granger_Inventory[[#This Row],[blt_gar]])*Lookups!$B$18</f>
        <v>0</v>
      </c>
      <c r="BO80" s="8">
        <f>Granger_Inventory[[#This Row],[Patio]]*Lookups!$B$19</f>
        <v>0</v>
      </c>
      <c r="BP80" s="8">
        <f>SUM(Granger_Inventory[[#This Row],[Intercept]:[Patio_Value]])*Granger_Inventory[[#This Row],[res_pct]]</f>
        <v>190329.76278799999</v>
      </c>
      <c r="BQ80" s="8">
        <f>Granger_Inventory[[#This Row],[land_value]]</f>
        <v>27689.858642911939</v>
      </c>
      <c r="BR80" s="4">
        <f>_xlfn.IFNA(VLOOKUP(Granger_Inventory[[#This Row],[quality]],Lookups!$A$25:$C$35,3,FALSE),1)</f>
        <v>0.99049976351917957</v>
      </c>
      <c r="BS80" s="4">
        <f>_xlfn.IFNA(VLOOKUP(Granger_Inventory[[#This Row],[condition]],Lookups!$A$38:$C$45,3,FALSE),1)</f>
        <v>0.92294678898076177</v>
      </c>
      <c r="BT80" s="4">
        <f>IF(Granger_Inventory[[#This Row],[decade]]="",1,_xlfn.IFNA(VLOOKUP(Granger_Inventory[[#This Row],[decade]],Lookups!$G$28:$I$42,3,FALSE),1))</f>
        <v>1.0539470644652671</v>
      </c>
      <c r="BU80" s="4">
        <f>_xlfn.IFNA(VLOOKUP(Granger_Inventory[[#This Row],[living_area_range]],Lookups!$A$48:$C$57,3,FALSE),1)</f>
        <v>0.97960506760539345</v>
      </c>
      <c r="BV80" s="4">
        <f>AVERAGE(Granger_Inventory[[#This Row],[qual_adj]:[living_range_adj]])</f>
        <v>0.98674967114265044</v>
      </c>
      <c r="BW80" s="8">
        <f>(Granger_Inventory[[#This Row],[sum_land]]-IF(Granger_Inventory[[#This Row],[no_utilities]]=1,12000,0))/IF(Granger_Inventory[[#This Row],[unbuildable]]=1,2,1)</f>
        <v>27689.858642911939</v>
      </c>
      <c r="BX80" s="8">
        <f>Granger_Inventory[[#This Row],[pre_res]]*Granger_Inventory[[#This Row],[overall_adj]]</f>
        <v>187807.83083971767</v>
      </c>
      <c r="BY80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80">
        <f>ROUND(Granger_Inventory[[#This Row],[detatched_value]]*Lookups!$I$45,-2)</f>
        <v>0</v>
      </c>
      <c r="CA80">
        <f>IF(ROUND(Granger_Inventory[[#This Row],[adj_res]]*Lookups!$I$45,-2)&lt;Granger_Inventory[[#This Row],[min_res]],Granger_Inventory[[#This Row],[min_res]],ROUND(Granger_Inventory[[#This Row],[adj_res]]*Lookups!$I$45,-2))</f>
        <v>178400</v>
      </c>
      <c r="CB80">
        <f>Granger_Inventory[[#This Row],[final_det]]+Granger_Inventory[[#This Row],[final_res]]</f>
        <v>178400</v>
      </c>
      <c r="CC80">
        <f>Granger_Inventory[[#This Row],[final_land]]+Granger_Inventory[[#This Row],[final_imp]]+Granger_Inventory[[#This Row],[crop_value]]</f>
        <v>204700</v>
      </c>
      <c r="CE80" t="str">
        <f t="shared" si="1"/>
        <v>update valuation set market_land =26300, market_bldg=178400, market_total =204700, market_mdno =402, market_date ='9/10/2023' where link_id = (select link_id from parcel where parcel_year = '2024' and parcel_id = '21101533455');</v>
      </c>
    </row>
    <row r="81" spans="1:83" x14ac:dyDescent="0.25">
      <c r="A81">
        <v>21101533456</v>
      </c>
      <c r="B81">
        <v>0.19</v>
      </c>
      <c r="C81">
        <v>8109</v>
      </c>
      <c r="D81" t="s">
        <v>137</v>
      </c>
      <c r="E81" t="s">
        <v>54</v>
      </c>
      <c r="F81" t="s">
        <v>54</v>
      </c>
      <c r="G81">
        <v>3</v>
      </c>
      <c r="H81" t="s">
        <v>55</v>
      </c>
      <c r="I81">
        <v>129900</v>
      </c>
      <c r="J81">
        <v>25900</v>
      </c>
      <c r="K81">
        <v>0.19</v>
      </c>
      <c r="L81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81">
        <v>0</v>
      </c>
      <c r="N81">
        <v>0</v>
      </c>
      <c r="O81">
        <v>0</v>
      </c>
      <c r="P81">
        <v>47108.068500000001</v>
      </c>
      <c r="Q81">
        <v>122298</v>
      </c>
      <c r="R81">
        <f>(Granger_Inventory[[#This Row],[ln_acres]]*Granger_Inventory[[#This Row],[coeff]])+Granger_Inventory[[#This Row],[const]]</f>
        <v>44064.160548957996</v>
      </c>
      <c r="S81" t="s">
        <v>56</v>
      </c>
      <c r="T81">
        <v>1</v>
      </c>
      <c r="U81" t="s">
        <v>64</v>
      </c>
      <c r="V81" t="s">
        <v>79</v>
      </c>
      <c r="W81">
        <v>0</v>
      </c>
      <c r="X81">
        <v>0</v>
      </c>
      <c r="Y81">
        <v>28</v>
      </c>
      <c r="Z81">
        <v>28</v>
      </c>
      <c r="AA81">
        <v>30</v>
      </c>
      <c r="AB81">
        <v>1500</v>
      </c>
      <c r="AC81">
        <v>1432</v>
      </c>
      <c r="AD81">
        <v>1432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72</v>
      </c>
      <c r="AM81">
        <v>0</v>
      </c>
      <c r="AN81">
        <v>72</v>
      </c>
      <c r="AO81">
        <v>0</v>
      </c>
      <c r="AP81">
        <v>8</v>
      </c>
      <c r="AQ81">
        <v>0</v>
      </c>
      <c r="AR81">
        <v>0</v>
      </c>
      <c r="AS81" t="s">
        <v>59</v>
      </c>
      <c r="AT81">
        <v>1</v>
      </c>
      <c r="AU81" t="s">
        <v>60</v>
      </c>
      <c r="AV81" t="s">
        <v>65</v>
      </c>
      <c r="AW81">
        <v>1</v>
      </c>
      <c r="AX81">
        <v>3</v>
      </c>
      <c r="AY81">
        <v>0</v>
      </c>
      <c r="AZ81">
        <v>0</v>
      </c>
      <c r="BA81">
        <v>100</v>
      </c>
      <c r="BB81">
        <v>100</v>
      </c>
      <c r="BC81">
        <v>100</v>
      </c>
      <c r="BD81">
        <v>100</v>
      </c>
      <c r="BE81">
        <v>1</v>
      </c>
      <c r="BF81">
        <v>15000</v>
      </c>
      <c r="BG81">
        <v>1000</v>
      </c>
      <c r="BH81" s="8">
        <f>Granger_Inventory[[#This Row],[land_extract]]*Lookups!$B$3</f>
        <v>26250.377615159185</v>
      </c>
      <c r="BI81" s="8">
        <f>IF(Granger_Inventory[[#This Row],[bldg_style]]="",0,Lookups!$B$2)</f>
        <v>29703.559000000001</v>
      </c>
      <c r="BJ81" s="8">
        <f>_xlfn.IFNA(VLOOKUP(Granger_Inventory[[#This Row],[quality]],Lookups!$H$2:$J$14,3,FALSE),0)</f>
        <v>36568</v>
      </c>
      <c r="BK81" s="8">
        <f>_xlfn.IFNA(VLOOKUP(Granger_Inventory[[#This Row],[condition]],Lookups!$H$17:$J$24,3,FALSE),0)</f>
        <v>86727</v>
      </c>
      <c r="BL81" s="8">
        <f>Granger_Inventory[[#This Row],[Age]]*Lookups!$B$16</f>
        <v>-5805.2708000000002</v>
      </c>
      <c r="BM81" s="8">
        <f>Granger_Inventory[[#This Row],[living_area]]*Lookups!$B$17</f>
        <v>96334.805687999993</v>
      </c>
      <c r="BN81" s="8">
        <f>(Granger_Inventory[[#This Row],[att_gar]]+Granger_Inventory[[#This Row],[blt_gar]])*Lookups!$B$18</f>
        <v>0</v>
      </c>
      <c r="BO81" s="8">
        <f>Granger_Inventory[[#This Row],[Patio]]*Lookups!$B$19</f>
        <v>0</v>
      </c>
      <c r="BP81" s="8">
        <f>SUM(Granger_Inventory[[#This Row],[Intercept]:[Patio_Value]])*Granger_Inventory[[#This Row],[res_pct]]</f>
        <v>243528.093888</v>
      </c>
      <c r="BQ81" s="8">
        <f>Granger_Inventory[[#This Row],[land_value]]</f>
        <v>26250.377615159185</v>
      </c>
      <c r="BR81" s="4">
        <f>_xlfn.IFNA(VLOOKUP(Granger_Inventory[[#This Row],[quality]],Lookups!$A$25:$C$35,3,FALSE),1)</f>
        <v>0.99049976351917957</v>
      </c>
      <c r="BS81" s="4">
        <f>_xlfn.IFNA(VLOOKUP(Granger_Inventory[[#This Row],[condition]],Lookups!$A$38:$C$45,3,FALSE),1)</f>
        <v>0.85322907131620684</v>
      </c>
      <c r="BT81" s="4">
        <f>IF(Granger_Inventory[[#This Row],[decade]]="",1,_xlfn.IFNA(VLOOKUP(Granger_Inventory[[#This Row],[decade]],Lookups!$G$28:$I$42,3,FALSE),1))</f>
        <v>1.0539470644652671</v>
      </c>
      <c r="BU81" s="4">
        <f>_xlfn.IFNA(VLOOKUP(Granger_Inventory[[#This Row],[living_area_range]],Lookups!$A$48:$C$57,3,FALSE),1)</f>
        <v>0.97960506760539345</v>
      </c>
      <c r="BV81" s="4">
        <f>AVERAGE(Granger_Inventory[[#This Row],[qual_adj]:[living_range_adj]])</f>
        <v>0.96932024172651177</v>
      </c>
      <c r="BW81" s="8">
        <f>(Granger_Inventory[[#This Row],[sum_land]]-IF(Granger_Inventory[[#This Row],[no_utilities]]=1,12000,0))/IF(Granger_Inventory[[#This Row],[unbuildable]]=1,2,1)</f>
        <v>26250.377615159185</v>
      </c>
      <c r="BX81" s="8">
        <f>Granger_Inventory[[#This Row],[pre_res]]*Granger_Inventory[[#This Row],[overall_adj]]</f>
        <v>236056.71083471281</v>
      </c>
      <c r="BY81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81">
        <f>ROUND(Granger_Inventory[[#This Row],[detatched_value]]*Lookups!$I$45,-2)</f>
        <v>0</v>
      </c>
      <c r="CA81">
        <f>IF(ROUND(Granger_Inventory[[#This Row],[adj_res]]*Lookups!$I$45,-2)&lt;Granger_Inventory[[#This Row],[min_res]],Granger_Inventory[[#This Row],[min_res]],ROUND(Granger_Inventory[[#This Row],[adj_res]]*Lookups!$I$45,-2))</f>
        <v>224300</v>
      </c>
      <c r="CB81">
        <f>Granger_Inventory[[#This Row],[final_det]]+Granger_Inventory[[#This Row],[final_res]]</f>
        <v>224300</v>
      </c>
      <c r="CC81">
        <f>Granger_Inventory[[#This Row],[final_land]]+Granger_Inventory[[#This Row],[final_imp]]+Granger_Inventory[[#This Row],[crop_value]]</f>
        <v>249200</v>
      </c>
      <c r="CE81" t="str">
        <f t="shared" si="1"/>
        <v>update valuation set market_land =24900, market_bldg=224300, market_total =249200, market_mdno =402, market_date ='9/10/2023' where link_id = (select link_id from parcel where parcel_year = '2024' and parcel_id = '21101533456');</v>
      </c>
    </row>
    <row r="82" spans="1:83" x14ac:dyDescent="0.25">
      <c r="A82">
        <v>21101533458</v>
      </c>
      <c r="B82">
        <v>3.53</v>
      </c>
      <c r="C82">
        <v>153626</v>
      </c>
      <c r="D82" t="s">
        <v>137</v>
      </c>
      <c r="E82" t="s">
        <v>54</v>
      </c>
      <c r="F82" t="s">
        <v>54</v>
      </c>
      <c r="G82">
        <v>3</v>
      </c>
      <c r="H82" t="s">
        <v>55</v>
      </c>
      <c r="I82">
        <v>84500</v>
      </c>
      <c r="J82">
        <v>42200</v>
      </c>
      <c r="K82">
        <v>3.53</v>
      </c>
      <c r="L82">
        <f>IF(Granger_Inventory[[#This Row],[parcel_acres]]-Granger_Inventory[[#This Row],[non_valued_acres]] =0,0,LN(Granger_Inventory[[#This Row],[parcel_acres]]-Granger_Inventory[[#This Row],[non_valued_acres]]))</f>
        <v>1.2612978709452054</v>
      </c>
      <c r="M82">
        <v>0</v>
      </c>
      <c r="N82">
        <v>0</v>
      </c>
      <c r="O82">
        <v>0</v>
      </c>
      <c r="P82">
        <v>47108.068500000001</v>
      </c>
      <c r="Q82">
        <v>122298</v>
      </c>
      <c r="R82">
        <f>(Granger_Inventory[[#This Row],[ln_acres]]*Granger_Inventory[[#This Row],[coeff]])+Granger_Inventory[[#This Row],[const]]</f>
        <v>181715.30650339089</v>
      </c>
      <c r="S82" t="s">
        <v>69</v>
      </c>
      <c r="T82">
        <v>1</v>
      </c>
      <c r="U82" t="s">
        <v>78</v>
      </c>
      <c r="V82" t="s">
        <v>82</v>
      </c>
      <c r="W82">
        <v>0</v>
      </c>
      <c r="X82">
        <v>0</v>
      </c>
      <c r="Y82">
        <v>58</v>
      </c>
      <c r="Z82">
        <v>105</v>
      </c>
      <c r="AA82">
        <v>110</v>
      </c>
      <c r="AB82">
        <v>2000</v>
      </c>
      <c r="AC82">
        <v>1911</v>
      </c>
      <c r="AD82">
        <v>1911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5</v>
      </c>
      <c r="AQ82">
        <v>0</v>
      </c>
      <c r="AR82">
        <v>0</v>
      </c>
      <c r="AS82" t="s">
        <v>59</v>
      </c>
      <c r="AT82">
        <v>1</v>
      </c>
      <c r="AU82" t="s">
        <v>60</v>
      </c>
      <c r="AV82" t="s">
        <v>143</v>
      </c>
      <c r="AW82">
        <v>0</v>
      </c>
      <c r="AX82">
        <v>4</v>
      </c>
      <c r="AY82">
        <v>0</v>
      </c>
      <c r="AZ82">
        <v>700</v>
      </c>
      <c r="BA82">
        <v>100</v>
      </c>
      <c r="BB82">
        <v>100</v>
      </c>
      <c r="BC82">
        <v>100</v>
      </c>
      <c r="BD82">
        <v>100</v>
      </c>
      <c r="BE82">
        <v>1</v>
      </c>
      <c r="BF82">
        <v>15000</v>
      </c>
      <c r="BG82">
        <v>1000</v>
      </c>
      <c r="BH82" s="8">
        <f>Granger_Inventory[[#This Row],[land_extract]]*Lookups!$B$3</f>
        <v>108253.40491551025</v>
      </c>
      <c r="BI82" s="8">
        <f>IF(Granger_Inventory[[#This Row],[bldg_style]]="",0,Lookups!$B$2)</f>
        <v>29703.559000000001</v>
      </c>
      <c r="BJ82" s="8">
        <f>_xlfn.IFNA(VLOOKUP(Granger_Inventory[[#This Row],[quality]],Lookups!$H$2:$J$14,3,FALSE),0)</f>
        <v>23737.786340274597</v>
      </c>
      <c r="BK82" s="8">
        <f>_xlfn.IFNA(VLOOKUP(Granger_Inventory[[#This Row],[condition]],Lookups!$H$17:$J$24,3,FALSE),0)</f>
        <v>27308</v>
      </c>
      <c r="BL82" s="8">
        <f>Granger_Inventory[[#This Row],[Age]]*Lookups!$B$16</f>
        <v>-21769.765499999998</v>
      </c>
      <c r="BM82" s="8">
        <f>Granger_Inventory[[#This Row],[living_area]]*Lookups!$B$17</f>
        <v>128558.52909899999</v>
      </c>
      <c r="BN82" s="8">
        <f>(Granger_Inventory[[#This Row],[att_gar]]+Granger_Inventory[[#This Row],[blt_gar]])*Lookups!$B$18</f>
        <v>0</v>
      </c>
      <c r="BO82" s="8">
        <f>Granger_Inventory[[#This Row],[Patio]]*Lookups!$B$19</f>
        <v>0</v>
      </c>
      <c r="BP82" s="8">
        <f>SUM(Granger_Inventory[[#This Row],[Intercept]:[Patio_Value]])*Granger_Inventory[[#This Row],[res_pct]]</f>
        <v>187538.10893927459</v>
      </c>
      <c r="BQ82" s="8">
        <f>Granger_Inventory[[#This Row],[land_value]]</f>
        <v>108253.40491551025</v>
      </c>
      <c r="BR82" s="4">
        <f>_xlfn.IFNA(VLOOKUP(Granger_Inventory[[#This Row],[quality]],Lookups!$A$25:$C$35,3,FALSE),1)</f>
        <v>0.77695375541795109</v>
      </c>
      <c r="BS82" s="4">
        <f>_xlfn.IFNA(VLOOKUP(Granger_Inventory[[#This Row],[condition]],Lookups!$A$38:$C$45,3,FALSE),1)</f>
        <v>0.59507759803100935</v>
      </c>
      <c r="BT82" s="4">
        <f>IF(Granger_Inventory[[#This Row],[decade]]="",1,_xlfn.IFNA(VLOOKUP(Granger_Inventory[[#This Row],[decade]],Lookups!$G$28:$I$42,3,FALSE),1))</f>
        <v>0.879441629375324</v>
      </c>
      <c r="BU82" s="4">
        <f>_xlfn.IFNA(VLOOKUP(Granger_Inventory[[#This Row],[living_area_range]],Lookups!$A$48:$C$57,3,FALSE),1)</f>
        <v>0.97860968051050168</v>
      </c>
      <c r="BV82" s="4">
        <f>AVERAGE(Granger_Inventory[[#This Row],[qual_adj]:[living_range_adj]])</f>
        <v>0.80752066583369664</v>
      </c>
      <c r="BW82" s="8">
        <f>(Granger_Inventory[[#This Row],[sum_land]]-IF(Granger_Inventory[[#This Row],[no_utilities]]=1,12000,0))/IF(Granger_Inventory[[#This Row],[unbuildable]]=1,2,1)</f>
        <v>108253.40491551025</v>
      </c>
      <c r="BX82" s="8">
        <f>Granger_Inventory[[#This Row],[pre_res]]*Granger_Inventory[[#This Row],[overall_adj]]</f>
        <v>151440.89859983535</v>
      </c>
      <c r="BY82">
        <f>IF(ROUND(Granger_Inventory[[#This Row],[adj_land]]*Lookups!$I$45,-2)&lt;Granger_Inventory[[#This Row],[min_land]],Granger_Inventory[[#This Row],[min_land]],ROUND(Granger_Inventory[[#This Row],[adj_land]]*Lookups!$I$45,-2))</f>
        <v>102800</v>
      </c>
      <c r="BZ82">
        <f>ROUND(Granger_Inventory[[#This Row],[detatched_value]]*Lookups!$I$45,-2)</f>
        <v>700</v>
      </c>
      <c r="CA82">
        <f>IF(ROUND(Granger_Inventory[[#This Row],[adj_res]]*Lookups!$I$45,-2)&lt;Granger_Inventory[[#This Row],[min_res]],Granger_Inventory[[#This Row],[min_res]],ROUND(Granger_Inventory[[#This Row],[adj_res]]*Lookups!$I$45,-2))</f>
        <v>143900</v>
      </c>
      <c r="CB82">
        <f>Granger_Inventory[[#This Row],[final_det]]+Granger_Inventory[[#This Row],[final_res]]</f>
        <v>144600</v>
      </c>
      <c r="CC82">
        <f>Granger_Inventory[[#This Row],[final_land]]+Granger_Inventory[[#This Row],[final_imp]]+Granger_Inventory[[#This Row],[crop_value]]</f>
        <v>247400</v>
      </c>
      <c r="CE82" t="str">
        <f t="shared" si="1"/>
        <v>update valuation set market_land =102800, market_bldg=144600, market_total =247400, market_mdno =402, market_date ='9/10/2023' where link_id = (select link_id from parcel where parcel_year = '2024' and parcel_id = '21101533458');</v>
      </c>
    </row>
    <row r="83" spans="1:83" x14ac:dyDescent="0.25">
      <c r="A83">
        <v>21101533459</v>
      </c>
      <c r="B83">
        <v>0.1</v>
      </c>
      <c r="C83">
        <v>4269</v>
      </c>
      <c r="D83" t="s">
        <v>137</v>
      </c>
      <c r="E83" t="s">
        <v>54</v>
      </c>
      <c r="F83" t="s">
        <v>54</v>
      </c>
      <c r="G83">
        <v>3</v>
      </c>
      <c r="H83" t="s">
        <v>55</v>
      </c>
      <c r="I83">
        <v>68800</v>
      </c>
      <c r="J83">
        <v>22400</v>
      </c>
      <c r="K83">
        <v>0.1</v>
      </c>
      <c r="L83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83">
        <v>0</v>
      </c>
      <c r="N83">
        <v>0</v>
      </c>
      <c r="O83">
        <v>0</v>
      </c>
      <c r="P83">
        <v>47108.068500000001</v>
      </c>
      <c r="Q83">
        <v>122298</v>
      </c>
      <c r="R83">
        <f>(Granger_Inventory[[#This Row],[ln_acres]]*Granger_Inventory[[#This Row],[coeff]])+Granger_Inventory[[#This Row],[const]]</f>
        <v>13827.663712157635</v>
      </c>
      <c r="S83" t="s">
        <v>56</v>
      </c>
      <c r="T83">
        <v>1</v>
      </c>
      <c r="U83" t="s">
        <v>78</v>
      </c>
      <c r="V83" t="s">
        <v>79</v>
      </c>
      <c r="W83">
        <v>0</v>
      </c>
      <c r="X83">
        <v>0</v>
      </c>
      <c r="Y83">
        <v>46</v>
      </c>
      <c r="Z83">
        <v>53</v>
      </c>
      <c r="AA83">
        <v>60</v>
      </c>
      <c r="AB83">
        <v>1500</v>
      </c>
      <c r="AC83">
        <v>1120</v>
      </c>
      <c r="AD83">
        <v>1120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5</v>
      </c>
      <c r="AQ83">
        <v>0</v>
      </c>
      <c r="AR83">
        <v>0</v>
      </c>
      <c r="AS83" t="s">
        <v>59</v>
      </c>
      <c r="AT83">
        <v>1</v>
      </c>
      <c r="AU83" t="s">
        <v>76</v>
      </c>
      <c r="AV83" t="s">
        <v>65</v>
      </c>
      <c r="AW83">
        <v>0</v>
      </c>
      <c r="AX83">
        <v>3</v>
      </c>
      <c r="AY83">
        <v>0</v>
      </c>
      <c r="AZ83">
        <v>0</v>
      </c>
      <c r="BA83">
        <v>100</v>
      </c>
      <c r="BB83">
        <v>100</v>
      </c>
      <c r="BC83">
        <v>100</v>
      </c>
      <c r="BD83">
        <v>100</v>
      </c>
      <c r="BE83">
        <v>1</v>
      </c>
      <c r="BF83">
        <v>15000</v>
      </c>
      <c r="BG83">
        <v>1000</v>
      </c>
      <c r="BH83" s="8">
        <f>Granger_Inventory[[#This Row],[land_extract]]*Lookups!$B$3</f>
        <v>8237.5651653746372</v>
      </c>
      <c r="BI83" s="8">
        <f>IF(Granger_Inventory[[#This Row],[bldg_style]]="",0,Lookups!$B$2)</f>
        <v>29703.559000000001</v>
      </c>
      <c r="BJ83" s="8">
        <f>_xlfn.IFNA(VLOOKUP(Granger_Inventory[[#This Row],[quality]],Lookups!$H$2:$J$14,3,FALSE),0)</f>
        <v>23737.786340274597</v>
      </c>
      <c r="BK83" s="8">
        <f>_xlfn.IFNA(VLOOKUP(Granger_Inventory[[#This Row],[condition]],Lookups!$H$17:$J$24,3,FALSE),0)</f>
        <v>86727</v>
      </c>
      <c r="BL83" s="8">
        <f>Granger_Inventory[[#This Row],[Age]]*Lookups!$B$16</f>
        <v>-10988.5483</v>
      </c>
      <c r="BM83" s="8">
        <f>Granger_Inventory[[#This Row],[living_area]]*Lookups!$B$17</f>
        <v>75345.658079999994</v>
      </c>
      <c r="BN83" s="8">
        <f>(Granger_Inventory[[#This Row],[att_gar]]+Granger_Inventory[[#This Row],[blt_gar]])*Lookups!$B$18</f>
        <v>0</v>
      </c>
      <c r="BO83" s="8">
        <f>Granger_Inventory[[#This Row],[Patio]]*Lookups!$B$19</f>
        <v>0</v>
      </c>
      <c r="BP83" s="8">
        <f>SUM(Granger_Inventory[[#This Row],[Intercept]:[Patio_Value]])*Granger_Inventory[[#This Row],[res_pct]]</f>
        <v>204525.45512027459</v>
      </c>
      <c r="BQ83" s="8">
        <f>Granger_Inventory[[#This Row],[land_value]]</f>
        <v>8237.5651653746372</v>
      </c>
      <c r="BR83" s="4">
        <f>_xlfn.IFNA(VLOOKUP(Granger_Inventory[[#This Row],[quality]],Lookups!$A$25:$C$35,3,FALSE),1)</f>
        <v>0.77695375541795109</v>
      </c>
      <c r="BS83" s="4">
        <f>_xlfn.IFNA(VLOOKUP(Granger_Inventory[[#This Row],[condition]],Lookups!$A$38:$C$45,3,FALSE),1)</f>
        <v>0.85322907131620684</v>
      </c>
      <c r="BT83" s="4">
        <f>IF(Granger_Inventory[[#This Row],[decade]]="",1,_xlfn.IFNA(VLOOKUP(Granger_Inventory[[#This Row],[decade]],Lookups!$G$28:$I$42,3,FALSE),1))</f>
        <v>0.86581421791274704</v>
      </c>
      <c r="BU83" s="4">
        <f>_xlfn.IFNA(VLOOKUP(Granger_Inventory[[#This Row],[living_area_range]],Lookups!$A$48:$C$57,3,FALSE),1)</f>
        <v>0.97960506760539345</v>
      </c>
      <c r="BV83" s="4">
        <f>AVERAGE(Granger_Inventory[[#This Row],[qual_adj]:[living_range_adj]])</f>
        <v>0.86890052806307461</v>
      </c>
      <c r="BW83" s="8">
        <f>(Granger_Inventory[[#This Row],[sum_land]]-IF(Granger_Inventory[[#This Row],[no_utilities]]=1,12000,0))/IF(Granger_Inventory[[#This Row],[unbuildable]]=1,2,1)</f>
        <v>8237.5651653746372</v>
      </c>
      <c r="BX83" s="8">
        <f>Granger_Inventory[[#This Row],[pre_res]]*Granger_Inventory[[#This Row],[overall_adj]]</f>
        <v>177712.27595634726</v>
      </c>
      <c r="BY83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83">
        <f>ROUND(Granger_Inventory[[#This Row],[detatched_value]]*Lookups!$I$45,-2)</f>
        <v>0</v>
      </c>
      <c r="CA83">
        <f>IF(ROUND(Granger_Inventory[[#This Row],[adj_res]]*Lookups!$I$45,-2)&lt;Granger_Inventory[[#This Row],[min_res]],Granger_Inventory[[#This Row],[min_res]],ROUND(Granger_Inventory[[#This Row],[adj_res]]*Lookups!$I$45,-2))</f>
        <v>168800</v>
      </c>
      <c r="CB83">
        <f>Granger_Inventory[[#This Row],[final_det]]+Granger_Inventory[[#This Row],[final_res]]</f>
        <v>168800</v>
      </c>
      <c r="CC83">
        <f>Granger_Inventory[[#This Row],[final_land]]+Granger_Inventory[[#This Row],[final_imp]]+Granger_Inventory[[#This Row],[crop_value]]</f>
        <v>183800</v>
      </c>
      <c r="CE83" t="str">
        <f t="shared" si="1"/>
        <v>update valuation set market_land =15000, market_bldg=168800, market_total =183800, market_mdno =402, market_date ='9/10/2023' where link_id = (select link_id from parcel where parcel_year = '2024' and parcel_id = '21101533459');</v>
      </c>
    </row>
    <row r="84" spans="1:83" x14ac:dyDescent="0.25">
      <c r="A84">
        <v>21101533463</v>
      </c>
      <c r="B84">
        <v>0.28999999999999998</v>
      </c>
      <c r="C84" t="s">
        <v>137</v>
      </c>
      <c r="D84" t="s">
        <v>137</v>
      </c>
      <c r="E84" t="s">
        <v>54</v>
      </c>
      <c r="F84" t="s">
        <v>54</v>
      </c>
      <c r="G84">
        <v>3</v>
      </c>
      <c r="H84" t="s">
        <v>55</v>
      </c>
      <c r="I84">
        <v>102600</v>
      </c>
      <c r="J84">
        <v>28300</v>
      </c>
      <c r="K84">
        <v>0.28999999999999998</v>
      </c>
      <c r="L84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84">
        <v>0</v>
      </c>
      <c r="N84">
        <v>0</v>
      </c>
      <c r="O84">
        <v>0</v>
      </c>
      <c r="P84">
        <v>47108.068500000001</v>
      </c>
      <c r="Q84">
        <v>122298</v>
      </c>
      <c r="R84">
        <f>(Granger_Inventory[[#This Row],[ln_acres]]*Granger_Inventory[[#This Row],[coeff]])+Granger_Inventory[[#This Row],[const]]</f>
        <v>63984.130043082419</v>
      </c>
      <c r="S84" t="s">
        <v>69</v>
      </c>
      <c r="T84">
        <v>1</v>
      </c>
      <c r="U84" t="s">
        <v>71</v>
      </c>
      <c r="V84" t="s">
        <v>77</v>
      </c>
      <c r="W84">
        <v>0</v>
      </c>
      <c r="X84">
        <v>0</v>
      </c>
      <c r="Y84">
        <v>51</v>
      </c>
      <c r="Z84">
        <v>81</v>
      </c>
      <c r="AA84">
        <v>90</v>
      </c>
      <c r="AB84">
        <v>1500</v>
      </c>
      <c r="AC84">
        <v>1208</v>
      </c>
      <c r="AD84">
        <v>1208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300</v>
      </c>
      <c r="AL84">
        <v>0</v>
      </c>
      <c r="AM84">
        <v>432</v>
      </c>
      <c r="AN84">
        <v>0</v>
      </c>
      <c r="AO84">
        <v>0</v>
      </c>
      <c r="AP84">
        <v>5</v>
      </c>
      <c r="AQ84">
        <v>0</v>
      </c>
      <c r="AR84">
        <v>1</v>
      </c>
      <c r="AS84" t="s">
        <v>59</v>
      </c>
      <c r="AT84">
        <v>1</v>
      </c>
      <c r="AU84" t="s">
        <v>76</v>
      </c>
      <c r="AV84" t="s">
        <v>61</v>
      </c>
      <c r="AW84">
        <v>0</v>
      </c>
      <c r="AX84">
        <v>2</v>
      </c>
      <c r="AY84">
        <v>0</v>
      </c>
      <c r="AZ84">
        <v>13400</v>
      </c>
      <c r="BA84">
        <v>100</v>
      </c>
      <c r="BB84">
        <v>100</v>
      </c>
      <c r="BC84">
        <v>100</v>
      </c>
      <c r="BD84">
        <v>100</v>
      </c>
      <c r="BE84">
        <v>1</v>
      </c>
      <c r="BF84">
        <v>15000</v>
      </c>
      <c r="BG84">
        <v>1000</v>
      </c>
      <c r="BH84" s="8">
        <f>Granger_Inventory[[#This Row],[land_extract]]*Lookups!$B$3</f>
        <v>38117.316977869523</v>
      </c>
      <c r="BI84" s="8">
        <f>IF(Granger_Inventory[[#This Row],[bldg_style]]="",0,Lookups!$B$2)</f>
        <v>29703.559000000001</v>
      </c>
      <c r="BJ84" s="8">
        <f>_xlfn.IFNA(VLOOKUP(Granger_Inventory[[#This Row],[quality]],Lookups!$H$2:$J$14,3,FALSE),0)</f>
        <v>34195</v>
      </c>
      <c r="BK84" s="8">
        <f>_xlfn.IFNA(VLOOKUP(Granger_Inventory[[#This Row],[condition]],Lookups!$H$17:$J$24,3,FALSE),0)</f>
        <v>33736</v>
      </c>
      <c r="BL84" s="8">
        <f>Granger_Inventory[[#This Row],[Age]]*Lookups!$B$16</f>
        <v>-16793.819100000001</v>
      </c>
      <c r="BM84" s="8">
        <f>Granger_Inventory[[#This Row],[living_area]]*Lookups!$B$17</f>
        <v>81265.674071999994</v>
      </c>
      <c r="BN84" s="8">
        <f>(Granger_Inventory[[#This Row],[att_gar]]+Granger_Inventory[[#This Row],[blt_gar]])*Lookups!$B$18</f>
        <v>0</v>
      </c>
      <c r="BO84" s="8">
        <f>Granger_Inventory[[#This Row],[Patio]]*Lookups!$B$19</f>
        <v>23464.121471999999</v>
      </c>
      <c r="BP84" s="8">
        <f>SUM(Granger_Inventory[[#This Row],[Intercept]:[Patio_Value]])*Granger_Inventory[[#This Row],[res_pct]]</f>
        <v>185570.53544400001</v>
      </c>
      <c r="BQ84" s="8">
        <f>Granger_Inventory[[#This Row],[land_value]]</f>
        <v>38117.316977869523</v>
      </c>
      <c r="BR84" s="4">
        <f>_xlfn.IFNA(VLOOKUP(Granger_Inventory[[#This Row],[quality]],Lookups!$A$25:$C$35,3,FALSE),1)</f>
        <v>0.98258795897788032</v>
      </c>
      <c r="BS84" s="4">
        <f>_xlfn.IFNA(VLOOKUP(Granger_Inventory[[#This Row],[condition]],Lookups!$A$38:$C$45,3,FALSE),1)</f>
        <v>0.92294678898076177</v>
      </c>
      <c r="BT84" s="4">
        <f>IF(Granger_Inventory[[#This Row],[decade]]="",1,_xlfn.IFNA(VLOOKUP(Granger_Inventory[[#This Row],[decade]],Lookups!$G$28:$I$42,3,FALSE),1))</f>
        <v>0.95234610137492615</v>
      </c>
      <c r="BU84" s="4">
        <f>_xlfn.IFNA(VLOOKUP(Granger_Inventory[[#This Row],[living_area_range]],Lookups!$A$48:$C$57,3,FALSE),1)</f>
        <v>0.97960506760539345</v>
      </c>
      <c r="BV84" s="4">
        <f>AVERAGE(Granger_Inventory[[#This Row],[qual_adj]:[living_range_adj]])</f>
        <v>0.95937147923474042</v>
      </c>
      <c r="BW84" s="8">
        <f>(Granger_Inventory[[#This Row],[sum_land]]-IF(Granger_Inventory[[#This Row],[no_utilities]]=1,12000,0))/IF(Granger_Inventory[[#This Row],[unbuildable]]=1,2,1)</f>
        <v>38117.316977869523</v>
      </c>
      <c r="BX84" s="8">
        <f>Granger_Inventory[[#This Row],[pre_res]]*Granger_Inventory[[#This Row],[overall_adj]]</f>
        <v>178031.07909129313</v>
      </c>
      <c r="BY84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84">
        <f>ROUND(Granger_Inventory[[#This Row],[detatched_value]]*Lookups!$I$45,-2)</f>
        <v>12700</v>
      </c>
      <c r="CA84">
        <f>IF(ROUND(Granger_Inventory[[#This Row],[adj_res]]*Lookups!$I$45,-2)&lt;Granger_Inventory[[#This Row],[min_res]],Granger_Inventory[[#This Row],[min_res]],ROUND(Granger_Inventory[[#This Row],[adj_res]]*Lookups!$I$45,-2))</f>
        <v>169100</v>
      </c>
      <c r="CB84">
        <f>Granger_Inventory[[#This Row],[final_det]]+Granger_Inventory[[#This Row],[final_res]]</f>
        <v>181800</v>
      </c>
      <c r="CC84">
        <f>Granger_Inventory[[#This Row],[final_land]]+Granger_Inventory[[#This Row],[final_imp]]+Granger_Inventory[[#This Row],[crop_value]]</f>
        <v>218000</v>
      </c>
      <c r="CE84" t="str">
        <f t="shared" si="1"/>
        <v>update valuation set market_land =36200, market_bldg=181800, market_total =218000, market_mdno =402, market_date ='9/10/2023' where link_id = (select link_id from parcel where parcel_year = '2024' and parcel_id = '21101533463');</v>
      </c>
    </row>
    <row r="85" spans="1:83" x14ac:dyDescent="0.25">
      <c r="A85">
        <v>21101533465</v>
      </c>
      <c r="B85">
        <v>0.31</v>
      </c>
      <c r="C85">
        <v>13295</v>
      </c>
      <c r="D85" t="s">
        <v>137</v>
      </c>
      <c r="E85" t="s">
        <v>54</v>
      </c>
      <c r="F85" t="s">
        <v>54</v>
      </c>
      <c r="G85">
        <v>3</v>
      </c>
      <c r="H85" t="s">
        <v>55</v>
      </c>
      <c r="I85">
        <v>228600</v>
      </c>
      <c r="J85">
        <v>28600</v>
      </c>
      <c r="K85">
        <v>0.31</v>
      </c>
      <c r="L85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85">
        <v>0</v>
      </c>
      <c r="N85">
        <v>0</v>
      </c>
      <c r="O85">
        <v>0</v>
      </c>
      <c r="P85">
        <v>47108.068500000001</v>
      </c>
      <c r="Q85">
        <v>122298</v>
      </c>
      <c r="R85">
        <f>(Granger_Inventory[[#This Row],[ln_acres]]*Granger_Inventory[[#This Row],[coeff]])+Granger_Inventory[[#This Row],[const]]</f>
        <v>67125.831881325023</v>
      </c>
      <c r="S85" t="s">
        <v>56</v>
      </c>
      <c r="T85">
        <v>1</v>
      </c>
      <c r="U85" t="s">
        <v>71</v>
      </c>
      <c r="V85" t="s">
        <v>72</v>
      </c>
      <c r="W85">
        <v>0</v>
      </c>
      <c r="X85">
        <v>0</v>
      </c>
      <c r="Y85">
        <v>48</v>
      </c>
      <c r="Z85">
        <v>63</v>
      </c>
      <c r="AA85">
        <v>70</v>
      </c>
      <c r="AB85">
        <v>2000</v>
      </c>
      <c r="AC85">
        <v>1755</v>
      </c>
      <c r="AD85">
        <v>1755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665</v>
      </c>
      <c r="AL85">
        <v>0</v>
      </c>
      <c r="AM85">
        <v>0</v>
      </c>
      <c r="AN85">
        <v>0</v>
      </c>
      <c r="AO85">
        <v>0</v>
      </c>
      <c r="AP85">
        <v>8</v>
      </c>
      <c r="AQ85">
        <v>1</v>
      </c>
      <c r="AR85">
        <v>0</v>
      </c>
      <c r="AS85" t="s">
        <v>59</v>
      </c>
      <c r="AT85">
        <v>1</v>
      </c>
      <c r="AU85" t="s">
        <v>60</v>
      </c>
      <c r="AV85" t="s">
        <v>65</v>
      </c>
      <c r="AW85">
        <v>0</v>
      </c>
      <c r="AX85">
        <v>3</v>
      </c>
      <c r="AY85">
        <v>0</v>
      </c>
      <c r="AZ85">
        <v>38800</v>
      </c>
      <c r="BA85">
        <v>100</v>
      </c>
      <c r="BB85">
        <v>100</v>
      </c>
      <c r="BC85">
        <v>100</v>
      </c>
      <c r="BD85">
        <v>100</v>
      </c>
      <c r="BE85">
        <v>1</v>
      </c>
      <c r="BF85">
        <v>15000</v>
      </c>
      <c r="BG85">
        <v>1000</v>
      </c>
      <c r="BH85" s="8">
        <f>Granger_Inventory[[#This Row],[land_extract]]*Lookups!$B$3</f>
        <v>39988.925527327257</v>
      </c>
      <c r="BI85" s="8">
        <f>IF(Granger_Inventory[[#This Row],[bldg_style]]="",0,Lookups!$B$2)</f>
        <v>29703.559000000001</v>
      </c>
      <c r="BJ85" s="8">
        <f>_xlfn.IFNA(VLOOKUP(Granger_Inventory[[#This Row],[quality]],Lookups!$H$2:$J$14,3,FALSE),0)</f>
        <v>34195</v>
      </c>
      <c r="BK85" s="8">
        <f>_xlfn.IFNA(VLOOKUP(Granger_Inventory[[#This Row],[condition]],Lookups!$H$17:$J$24,3,FALSE),0)</f>
        <v>94106</v>
      </c>
      <c r="BL85" s="8">
        <f>Granger_Inventory[[#This Row],[Age]]*Lookups!$B$16</f>
        <v>-13061.8593</v>
      </c>
      <c r="BM85" s="8">
        <f>Granger_Inventory[[#This Row],[living_area]]*Lookups!$B$17</f>
        <v>118063.95529499999</v>
      </c>
      <c r="BN85" s="8">
        <f>(Granger_Inventory[[#This Row],[att_gar]]+Granger_Inventory[[#This Row],[blt_gar]])*Lookups!$B$18</f>
        <v>0</v>
      </c>
      <c r="BO85" s="8">
        <f>Granger_Inventory[[#This Row],[Patio]]*Lookups!$B$19</f>
        <v>0</v>
      </c>
      <c r="BP85" s="8">
        <f>SUM(Granger_Inventory[[#This Row],[Intercept]:[Patio_Value]])*Granger_Inventory[[#This Row],[res_pct]]</f>
        <v>263006.65499499999</v>
      </c>
      <c r="BQ85" s="8">
        <f>Granger_Inventory[[#This Row],[land_value]]</f>
        <v>39988.925527327257</v>
      </c>
      <c r="BR85" s="4">
        <f>_xlfn.IFNA(VLOOKUP(Granger_Inventory[[#This Row],[quality]],Lookups!$A$25:$C$35,3,FALSE),1)</f>
        <v>0.98258795897788032</v>
      </c>
      <c r="BS85" s="4">
        <f>_xlfn.IFNA(VLOOKUP(Granger_Inventory[[#This Row],[condition]],Lookups!$A$38:$C$45,3,FALSE),1)</f>
        <v>0.98658583151544277</v>
      </c>
      <c r="BT85" s="4">
        <f>IF(Granger_Inventory[[#This Row],[decade]]="",1,_xlfn.IFNA(VLOOKUP(Granger_Inventory[[#This Row],[decade]],Lookups!$G$28:$I$42,3,FALSE),1))</f>
        <v>1.0270382440255921</v>
      </c>
      <c r="BU85" s="4">
        <f>_xlfn.IFNA(VLOOKUP(Granger_Inventory[[#This Row],[living_area_range]],Lookups!$A$48:$C$57,3,FALSE),1)</f>
        <v>0.97860968051050168</v>
      </c>
      <c r="BV85" s="4">
        <f>AVERAGE(Granger_Inventory[[#This Row],[qual_adj]:[living_range_adj]])</f>
        <v>0.99370542875735424</v>
      </c>
      <c r="BW85" s="8">
        <f>(Granger_Inventory[[#This Row],[sum_land]]-IF(Granger_Inventory[[#This Row],[no_utilities]]=1,12000,0))/IF(Granger_Inventory[[#This Row],[unbuildable]]=1,2,1)</f>
        <v>39988.925527327257</v>
      </c>
      <c r="BX85" s="8">
        <f>Granger_Inventory[[#This Row],[pre_res]]*Granger_Inventory[[#This Row],[overall_adj]]</f>
        <v>261351.14086784402</v>
      </c>
      <c r="BY85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85">
        <f>ROUND(Granger_Inventory[[#This Row],[detatched_value]]*Lookups!$I$45,-2)</f>
        <v>36900</v>
      </c>
      <c r="CA85">
        <f>IF(ROUND(Granger_Inventory[[#This Row],[adj_res]]*Lookups!$I$45,-2)&lt;Granger_Inventory[[#This Row],[min_res]],Granger_Inventory[[#This Row],[min_res]],ROUND(Granger_Inventory[[#This Row],[adj_res]]*Lookups!$I$45,-2))</f>
        <v>248300</v>
      </c>
      <c r="CB85">
        <f>Granger_Inventory[[#This Row],[final_det]]+Granger_Inventory[[#This Row],[final_res]]</f>
        <v>285200</v>
      </c>
      <c r="CC85">
        <f>Granger_Inventory[[#This Row],[final_land]]+Granger_Inventory[[#This Row],[final_imp]]+Granger_Inventory[[#This Row],[crop_value]]</f>
        <v>323200</v>
      </c>
      <c r="CE85" t="str">
        <f t="shared" si="1"/>
        <v>update valuation set market_land =38000, market_bldg=285200, market_total =323200, market_mdno =402, market_date ='9/10/2023' where link_id = (select link_id from parcel where parcel_year = '2024' and parcel_id = '21101533465');</v>
      </c>
    </row>
    <row r="86" spans="1:83" x14ac:dyDescent="0.25">
      <c r="A86">
        <v>21101534008</v>
      </c>
      <c r="B86">
        <v>0.75</v>
      </c>
      <c r="C86">
        <v>32651</v>
      </c>
      <c r="D86" t="s">
        <v>137</v>
      </c>
      <c r="E86" t="s">
        <v>54</v>
      </c>
      <c r="F86" t="s">
        <v>54</v>
      </c>
      <c r="G86">
        <v>3</v>
      </c>
      <c r="H86" t="s">
        <v>55</v>
      </c>
      <c r="I86">
        <v>117500</v>
      </c>
      <c r="J86">
        <v>33500</v>
      </c>
      <c r="K86">
        <v>0.75</v>
      </c>
      <c r="L86">
        <f>IF(Granger_Inventory[[#This Row],[parcel_acres]]-Granger_Inventory[[#This Row],[non_valued_acres]] =0,0,LN(Granger_Inventory[[#This Row],[parcel_acres]]-Granger_Inventory[[#This Row],[non_valued_acres]]))</f>
        <v>-0.2876820724517809</v>
      </c>
      <c r="M86">
        <v>0</v>
      </c>
      <c r="N86">
        <v>0</v>
      </c>
      <c r="O86">
        <v>0</v>
      </c>
      <c r="P86">
        <v>47108.068500000001</v>
      </c>
      <c r="Q86">
        <v>122298</v>
      </c>
      <c r="R86">
        <f>(Granger_Inventory[[#This Row],[ln_acres]]*Granger_Inventory[[#This Row],[coeff]])+Granger_Inventory[[#This Row],[const]]</f>
        <v>108745.85322471954</v>
      </c>
      <c r="S86" t="s">
        <v>56</v>
      </c>
      <c r="T86">
        <v>1</v>
      </c>
      <c r="U86" t="s">
        <v>78</v>
      </c>
      <c r="V86" t="s">
        <v>79</v>
      </c>
      <c r="W86">
        <v>0</v>
      </c>
      <c r="X86">
        <v>0</v>
      </c>
      <c r="Y86">
        <v>55</v>
      </c>
      <c r="Z86">
        <v>98</v>
      </c>
      <c r="AA86">
        <v>100</v>
      </c>
      <c r="AB86">
        <v>1500</v>
      </c>
      <c r="AC86">
        <v>1344</v>
      </c>
      <c r="AD86">
        <v>1344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24</v>
      </c>
      <c r="AO86">
        <v>0</v>
      </c>
      <c r="AP86">
        <v>5</v>
      </c>
      <c r="AQ86">
        <v>0</v>
      </c>
      <c r="AR86">
        <v>0</v>
      </c>
      <c r="AS86" t="s">
        <v>59</v>
      </c>
      <c r="AT86">
        <v>0</v>
      </c>
      <c r="AU86" t="s">
        <v>83</v>
      </c>
      <c r="AV86" t="s">
        <v>65</v>
      </c>
      <c r="AW86">
        <v>0</v>
      </c>
      <c r="AX86">
        <v>5</v>
      </c>
      <c r="AY86">
        <v>0</v>
      </c>
      <c r="AZ86">
        <v>500</v>
      </c>
      <c r="BA86">
        <v>100</v>
      </c>
      <c r="BB86">
        <v>100</v>
      </c>
      <c r="BC86">
        <v>100</v>
      </c>
      <c r="BD86">
        <v>100</v>
      </c>
      <c r="BE86">
        <v>1</v>
      </c>
      <c r="BF86">
        <v>15000</v>
      </c>
      <c r="BG86">
        <v>1000</v>
      </c>
      <c r="BH86" s="8">
        <f>Granger_Inventory[[#This Row],[land_extract]]*Lookups!$B$3</f>
        <v>64783.254138244753</v>
      </c>
      <c r="BI86" s="8">
        <f>IF(Granger_Inventory[[#This Row],[bldg_style]]="",0,Lookups!$B$2)</f>
        <v>29703.559000000001</v>
      </c>
      <c r="BJ86" s="8">
        <f>_xlfn.IFNA(VLOOKUP(Granger_Inventory[[#This Row],[quality]],Lookups!$H$2:$J$14,3,FALSE),0)</f>
        <v>23737.786340274597</v>
      </c>
      <c r="BK86" s="8">
        <f>_xlfn.IFNA(VLOOKUP(Granger_Inventory[[#This Row],[condition]],Lookups!$H$17:$J$24,3,FALSE),0)</f>
        <v>86727</v>
      </c>
      <c r="BL86" s="8">
        <f>Granger_Inventory[[#This Row],[Age]]*Lookups!$B$16</f>
        <v>-20318.447799999998</v>
      </c>
      <c r="BM86" s="8">
        <f>Granger_Inventory[[#This Row],[living_area]]*Lookups!$B$17</f>
        <v>90414.789695999993</v>
      </c>
      <c r="BN86" s="8">
        <f>(Granger_Inventory[[#This Row],[att_gar]]+Granger_Inventory[[#This Row],[blt_gar]])*Lookups!$B$18</f>
        <v>0</v>
      </c>
      <c r="BO86" s="8">
        <f>Granger_Inventory[[#This Row],[Patio]]*Lookups!$B$19</f>
        <v>0</v>
      </c>
      <c r="BP86" s="8">
        <f>SUM(Granger_Inventory[[#This Row],[Intercept]:[Patio_Value]])*Granger_Inventory[[#This Row],[res_pct]]</f>
        <v>210264.68723627459</v>
      </c>
      <c r="BQ86" s="8">
        <f>Granger_Inventory[[#This Row],[land_value]]</f>
        <v>64783.254138244753</v>
      </c>
      <c r="BR86" s="4">
        <f>_xlfn.IFNA(VLOOKUP(Granger_Inventory[[#This Row],[quality]],Lookups!$A$25:$C$35,3,FALSE),1)</f>
        <v>0.77695375541795109</v>
      </c>
      <c r="BS86" s="4">
        <f>_xlfn.IFNA(VLOOKUP(Granger_Inventory[[#This Row],[condition]],Lookups!$A$38:$C$45,3,FALSE),1)</f>
        <v>0.85322907131620684</v>
      </c>
      <c r="BT86" s="4">
        <f>IF(Granger_Inventory[[#This Row],[decade]]="",1,_xlfn.IFNA(VLOOKUP(Granger_Inventory[[#This Row],[decade]],Lookups!$G$28:$I$42,3,FALSE),1))</f>
        <v>0.879441629375324</v>
      </c>
      <c r="BU86" s="4">
        <f>_xlfn.IFNA(VLOOKUP(Granger_Inventory[[#This Row],[living_area_range]],Lookups!$A$48:$C$57,3,FALSE),1)</f>
        <v>0.97960506760539345</v>
      </c>
      <c r="BV86" s="4">
        <f>AVERAGE(Granger_Inventory[[#This Row],[qual_adj]:[living_range_adj]])</f>
        <v>0.87230738092871896</v>
      </c>
      <c r="BW86" s="8">
        <f>(Granger_Inventory[[#This Row],[sum_land]]-IF(Granger_Inventory[[#This Row],[no_utilities]]=1,12000,0))/IF(Granger_Inventory[[#This Row],[unbuildable]]=1,2,1)</f>
        <v>64783.254138244753</v>
      </c>
      <c r="BX86" s="8">
        <f>Granger_Inventory[[#This Row],[pre_res]]*Granger_Inventory[[#This Row],[overall_adj]]</f>
        <v>183415.43862487093</v>
      </c>
      <c r="BY86">
        <f>IF(ROUND(Granger_Inventory[[#This Row],[adj_land]]*Lookups!$I$45,-2)&lt;Granger_Inventory[[#This Row],[min_land]],Granger_Inventory[[#This Row],[min_land]],ROUND(Granger_Inventory[[#This Row],[adj_land]]*Lookups!$I$45,-2))</f>
        <v>61500</v>
      </c>
      <c r="BZ86">
        <f>ROUND(Granger_Inventory[[#This Row],[detatched_value]]*Lookups!$I$45,-2)</f>
        <v>500</v>
      </c>
      <c r="CA86">
        <f>IF(ROUND(Granger_Inventory[[#This Row],[adj_res]]*Lookups!$I$45,-2)&lt;Granger_Inventory[[#This Row],[min_res]],Granger_Inventory[[#This Row],[min_res]],ROUND(Granger_Inventory[[#This Row],[adj_res]]*Lookups!$I$45,-2))</f>
        <v>174200</v>
      </c>
      <c r="CB86">
        <f>Granger_Inventory[[#This Row],[final_det]]+Granger_Inventory[[#This Row],[final_res]]</f>
        <v>174700</v>
      </c>
      <c r="CC86">
        <f>Granger_Inventory[[#This Row],[final_land]]+Granger_Inventory[[#This Row],[final_imp]]+Granger_Inventory[[#This Row],[crop_value]]</f>
        <v>236200</v>
      </c>
      <c r="CE86" t="str">
        <f t="shared" si="1"/>
        <v>update valuation set market_land =61500, market_bldg=174700, market_total =236200, market_mdno =402, market_date ='9/10/2023' where link_id = (select link_id from parcel where parcel_year = '2024' and parcel_id = '21101534008');</v>
      </c>
    </row>
    <row r="87" spans="1:83" x14ac:dyDescent="0.25">
      <c r="A87">
        <v>21101534010</v>
      </c>
      <c r="B87">
        <v>0.59</v>
      </c>
      <c r="C87">
        <v>25719</v>
      </c>
      <c r="D87" t="s">
        <v>137</v>
      </c>
      <c r="E87" t="s">
        <v>54</v>
      </c>
      <c r="F87" t="s">
        <v>54</v>
      </c>
      <c r="G87">
        <v>3</v>
      </c>
      <c r="H87" t="s">
        <v>55</v>
      </c>
      <c r="I87">
        <v>53900</v>
      </c>
      <c r="J87">
        <v>32200</v>
      </c>
      <c r="K87">
        <v>0.59</v>
      </c>
      <c r="L87">
        <f>IF(Granger_Inventory[[#This Row],[parcel_acres]]-Granger_Inventory[[#This Row],[non_valued_acres]] =0,0,LN(Granger_Inventory[[#This Row],[parcel_acres]]-Granger_Inventory[[#This Row],[non_valued_acres]]))</f>
        <v>-0.52763274208237199</v>
      </c>
      <c r="M87">
        <v>0</v>
      </c>
      <c r="N87">
        <v>0</v>
      </c>
      <c r="O87">
        <v>0</v>
      </c>
      <c r="P87">
        <v>47108.068500000001</v>
      </c>
      <c r="Q87">
        <v>122298</v>
      </c>
      <c r="R87">
        <f>(Granger_Inventory[[#This Row],[ln_acres]]*Granger_Inventory[[#This Row],[coeff]])+Granger_Inventory[[#This Row],[const]]</f>
        <v>97442.240643140787</v>
      </c>
      <c r="S87" t="s">
        <v>69</v>
      </c>
      <c r="T87">
        <v>1</v>
      </c>
      <c r="U87" t="s">
        <v>78</v>
      </c>
      <c r="V87" t="s">
        <v>77</v>
      </c>
      <c r="W87">
        <v>0</v>
      </c>
      <c r="X87">
        <v>0</v>
      </c>
      <c r="Y87">
        <v>51</v>
      </c>
      <c r="Z87">
        <v>83</v>
      </c>
      <c r="AA87">
        <v>90</v>
      </c>
      <c r="AB87">
        <v>1000</v>
      </c>
      <c r="AC87">
        <v>840</v>
      </c>
      <c r="AD87">
        <v>840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222</v>
      </c>
      <c r="AN87">
        <v>0</v>
      </c>
      <c r="AO87">
        <v>222</v>
      </c>
      <c r="AP87">
        <v>5</v>
      </c>
      <c r="AQ87">
        <v>0</v>
      </c>
      <c r="AR87">
        <v>0</v>
      </c>
      <c r="AS87" t="s">
        <v>59</v>
      </c>
      <c r="AT87">
        <v>1</v>
      </c>
      <c r="AU87" t="s">
        <v>76</v>
      </c>
      <c r="AV87" t="s">
        <v>65</v>
      </c>
      <c r="AW87">
        <v>0</v>
      </c>
      <c r="AX87">
        <v>2</v>
      </c>
      <c r="AY87">
        <v>0</v>
      </c>
      <c r="AZ87">
        <v>3700</v>
      </c>
      <c r="BA87">
        <v>100</v>
      </c>
      <c r="BB87">
        <v>100</v>
      </c>
      <c r="BC87">
        <v>100</v>
      </c>
      <c r="BD87">
        <v>100</v>
      </c>
      <c r="BE87">
        <v>1</v>
      </c>
      <c r="BF87">
        <v>15000</v>
      </c>
      <c r="BG87">
        <v>1000</v>
      </c>
      <c r="BH87" s="8">
        <f>Granger_Inventory[[#This Row],[land_extract]]*Lookups!$B$3</f>
        <v>58049.343972130773</v>
      </c>
      <c r="BI87" s="8">
        <f>IF(Granger_Inventory[[#This Row],[bldg_style]]="",0,Lookups!$B$2)</f>
        <v>29703.559000000001</v>
      </c>
      <c r="BJ87" s="8">
        <f>_xlfn.IFNA(VLOOKUP(Granger_Inventory[[#This Row],[quality]],Lookups!$H$2:$J$14,3,FALSE),0)</f>
        <v>23737.786340274597</v>
      </c>
      <c r="BK87" s="8">
        <f>_xlfn.IFNA(VLOOKUP(Granger_Inventory[[#This Row],[condition]],Lookups!$H$17:$J$24,3,FALSE),0)</f>
        <v>33736</v>
      </c>
      <c r="BL87" s="8">
        <f>Granger_Inventory[[#This Row],[Age]]*Lookups!$B$16</f>
        <v>-17208.481299999999</v>
      </c>
      <c r="BM87" s="8">
        <f>Granger_Inventory[[#This Row],[living_area]]*Lookups!$B$17</f>
        <v>56509.243559999995</v>
      </c>
      <c r="BN87" s="8">
        <f>(Granger_Inventory[[#This Row],[att_gar]]+Granger_Inventory[[#This Row],[blt_gar]])*Lookups!$B$18</f>
        <v>0</v>
      </c>
      <c r="BO87" s="8">
        <f>Granger_Inventory[[#This Row],[Patio]]*Lookups!$B$19</f>
        <v>12057.951311999999</v>
      </c>
      <c r="BP87" s="8">
        <f>SUM(Granger_Inventory[[#This Row],[Intercept]:[Patio_Value]])*Granger_Inventory[[#This Row],[res_pct]]</f>
        <v>138536.05891227457</v>
      </c>
      <c r="BQ87" s="8">
        <f>Granger_Inventory[[#This Row],[land_value]]</f>
        <v>58049.343972130773</v>
      </c>
      <c r="BR87" s="4">
        <f>_xlfn.IFNA(VLOOKUP(Granger_Inventory[[#This Row],[quality]],Lookups!$A$25:$C$35,3,FALSE),1)</f>
        <v>0.77695375541795109</v>
      </c>
      <c r="BS87" s="4">
        <f>_xlfn.IFNA(VLOOKUP(Granger_Inventory[[#This Row],[condition]],Lookups!$A$38:$C$45,3,FALSE),1)</f>
        <v>0.92294678898076177</v>
      </c>
      <c r="BT87" s="4">
        <f>IF(Granger_Inventory[[#This Row],[decade]]="",1,_xlfn.IFNA(VLOOKUP(Granger_Inventory[[#This Row],[decade]],Lookups!$G$28:$I$42,3,FALSE),1))</f>
        <v>0.95234610137492615</v>
      </c>
      <c r="BU87" s="4">
        <f>_xlfn.IFNA(VLOOKUP(Granger_Inventory[[#This Row],[living_area_range]],Lookups!$A$48:$C$57,3,FALSE),1)</f>
        <v>0.81272404900450645</v>
      </c>
      <c r="BV87" s="4">
        <f>AVERAGE(Granger_Inventory[[#This Row],[qual_adj]:[living_range_adj]])</f>
        <v>0.86624267369453634</v>
      </c>
      <c r="BW87" s="8">
        <f>(Granger_Inventory[[#This Row],[sum_land]]-IF(Granger_Inventory[[#This Row],[no_utilities]]=1,12000,0))/IF(Granger_Inventory[[#This Row],[unbuildable]]=1,2,1)</f>
        <v>58049.343972130773</v>
      </c>
      <c r="BX87" s="8">
        <f>Granger_Inventory[[#This Row],[pre_res]]*Granger_Inventory[[#This Row],[overall_adj]]</f>
        <v>120005.84607527252</v>
      </c>
      <c r="BY87">
        <f>IF(ROUND(Granger_Inventory[[#This Row],[adj_land]]*Lookups!$I$45,-2)&lt;Granger_Inventory[[#This Row],[min_land]],Granger_Inventory[[#This Row],[min_land]],ROUND(Granger_Inventory[[#This Row],[adj_land]]*Lookups!$I$45,-2))</f>
        <v>55100</v>
      </c>
      <c r="BZ87">
        <f>ROUND(Granger_Inventory[[#This Row],[detatched_value]]*Lookups!$I$45,-2)</f>
        <v>3500</v>
      </c>
      <c r="CA87">
        <f>IF(ROUND(Granger_Inventory[[#This Row],[adj_res]]*Lookups!$I$45,-2)&lt;Granger_Inventory[[#This Row],[min_res]],Granger_Inventory[[#This Row],[min_res]],ROUND(Granger_Inventory[[#This Row],[adj_res]]*Lookups!$I$45,-2))</f>
        <v>114000</v>
      </c>
      <c r="CB87">
        <f>Granger_Inventory[[#This Row],[final_det]]+Granger_Inventory[[#This Row],[final_res]]</f>
        <v>117500</v>
      </c>
      <c r="CC87">
        <f>Granger_Inventory[[#This Row],[final_land]]+Granger_Inventory[[#This Row],[final_imp]]+Granger_Inventory[[#This Row],[crop_value]]</f>
        <v>172600</v>
      </c>
      <c r="CE87" t="str">
        <f t="shared" si="1"/>
        <v>update valuation set market_land =55100, market_bldg=117500, market_total =172600, market_mdno =402, market_date ='9/10/2023' where link_id = (select link_id from parcel where parcel_year = '2024' and parcel_id = '21101534010');</v>
      </c>
    </row>
    <row r="88" spans="1:83" x14ac:dyDescent="0.25">
      <c r="A88">
        <v>21101534011</v>
      </c>
      <c r="B88">
        <v>0.36</v>
      </c>
      <c r="C88">
        <v>15698</v>
      </c>
      <c r="D88" t="s">
        <v>137</v>
      </c>
      <c r="E88" t="s">
        <v>54</v>
      </c>
      <c r="F88" t="s">
        <v>54</v>
      </c>
      <c r="G88">
        <v>3</v>
      </c>
      <c r="H88" t="s">
        <v>55</v>
      </c>
      <c r="I88">
        <v>49900</v>
      </c>
      <c r="J88">
        <v>29500</v>
      </c>
      <c r="K88">
        <v>0.36</v>
      </c>
      <c r="L88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88">
        <v>0</v>
      </c>
      <c r="N88">
        <v>0</v>
      </c>
      <c r="O88">
        <v>0</v>
      </c>
      <c r="P88">
        <v>47108.068500000001</v>
      </c>
      <c r="Q88">
        <v>122298</v>
      </c>
      <c r="R88">
        <f>(Granger_Inventory[[#This Row],[ln_acres]]*Granger_Inventory[[#This Row],[coeff]])+Granger_Inventory[[#This Row],[const]]</f>
        <v>74169.983048152964</v>
      </c>
      <c r="S88" t="s">
        <v>69</v>
      </c>
      <c r="T88">
        <v>1</v>
      </c>
      <c r="U88" t="s">
        <v>71</v>
      </c>
      <c r="V88" t="s">
        <v>79</v>
      </c>
      <c r="W88">
        <v>0</v>
      </c>
      <c r="X88">
        <v>0</v>
      </c>
      <c r="Y88">
        <v>51</v>
      </c>
      <c r="Z88">
        <v>83</v>
      </c>
      <c r="AA88">
        <v>90</v>
      </c>
      <c r="AB88">
        <v>1000</v>
      </c>
      <c r="AC88">
        <v>775</v>
      </c>
      <c r="AD88">
        <v>775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5</v>
      </c>
      <c r="AQ88">
        <v>0</v>
      </c>
      <c r="AR88">
        <v>0</v>
      </c>
      <c r="AS88" t="s">
        <v>141</v>
      </c>
      <c r="AT88">
        <v>1</v>
      </c>
      <c r="AU88" t="s">
        <v>60</v>
      </c>
      <c r="AV88" t="s">
        <v>61</v>
      </c>
      <c r="AW88">
        <v>0</v>
      </c>
      <c r="AX88">
        <v>2</v>
      </c>
      <c r="AY88">
        <v>0</v>
      </c>
      <c r="AZ88">
        <v>0</v>
      </c>
      <c r="BA88">
        <v>100</v>
      </c>
      <c r="BB88">
        <v>100</v>
      </c>
      <c r="BC88">
        <v>100</v>
      </c>
      <c r="BD88">
        <v>100</v>
      </c>
      <c r="BE88">
        <v>1</v>
      </c>
      <c r="BF88">
        <v>15000</v>
      </c>
      <c r="BG88">
        <v>1000</v>
      </c>
      <c r="BH88" s="8">
        <f>Granger_Inventory[[#This Row],[land_extract]]*Lookups!$B$3</f>
        <v>44185.343337262602</v>
      </c>
      <c r="BI88" s="8">
        <f>IF(Granger_Inventory[[#This Row],[bldg_style]]="",0,Lookups!$B$2)</f>
        <v>29703.559000000001</v>
      </c>
      <c r="BJ88" s="8">
        <f>_xlfn.IFNA(VLOOKUP(Granger_Inventory[[#This Row],[quality]],Lookups!$H$2:$J$14,3,FALSE),0)</f>
        <v>34195</v>
      </c>
      <c r="BK88" s="8">
        <f>_xlfn.IFNA(VLOOKUP(Granger_Inventory[[#This Row],[condition]],Lookups!$H$17:$J$24,3,FALSE),0)</f>
        <v>86727</v>
      </c>
      <c r="BL88" s="8">
        <f>Granger_Inventory[[#This Row],[Age]]*Lookups!$B$16</f>
        <v>-17208.481299999999</v>
      </c>
      <c r="BM88" s="8">
        <f>Granger_Inventory[[#This Row],[living_area]]*Lookups!$B$17</f>
        <v>52136.504475000002</v>
      </c>
      <c r="BN88" s="8">
        <f>(Granger_Inventory[[#This Row],[att_gar]]+Granger_Inventory[[#This Row],[blt_gar]])*Lookups!$B$18</f>
        <v>0</v>
      </c>
      <c r="BO88" s="8">
        <f>Granger_Inventory[[#This Row],[Patio]]*Lookups!$B$19</f>
        <v>0</v>
      </c>
      <c r="BP88" s="8">
        <f>SUM(Granger_Inventory[[#This Row],[Intercept]:[Patio_Value]])*Granger_Inventory[[#This Row],[res_pct]]</f>
        <v>185553.58217500002</v>
      </c>
      <c r="BQ88" s="8">
        <f>Granger_Inventory[[#This Row],[land_value]]</f>
        <v>44185.343337262602</v>
      </c>
      <c r="BR88" s="4">
        <f>_xlfn.IFNA(VLOOKUP(Granger_Inventory[[#This Row],[quality]],Lookups!$A$25:$C$35,3,FALSE),1)</f>
        <v>0.98258795897788032</v>
      </c>
      <c r="BS88" s="4">
        <f>_xlfn.IFNA(VLOOKUP(Granger_Inventory[[#This Row],[condition]],Lookups!$A$38:$C$45,3,FALSE),1)</f>
        <v>0.85322907131620684</v>
      </c>
      <c r="BT88" s="4">
        <f>IF(Granger_Inventory[[#This Row],[decade]]="",1,_xlfn.IFNA(VLOOKUP(Granger_Inventory[[#This Row],[decade]],Lookups!$G$28:$I$42,3,FALSE),1))</f>
        <v>0.95234610137492615</v>
      </c>
      <c r="BU88" s="4">
        <f>_xlfn.IFNA(VLOOKUP(Granger_Inventory[[#This Row],[living_area_range]],Lookups!$A$48:$C$57,3,FALSE),1)</f>
        <v>0.81272404900450645</v>
      </c>
      <c r="BV88" s="4">
        <f>AVERAGE(Granger_Inventory[[#This Row],[qual_adj]:[living_range_adj]])</f>
        <v>0.90022179516837997</v>
      </c>
      <c r="BW88" s="8">
        <f>(Granger_Inventory[[#This Row],[sum_land]]-IF(Granger_Inventory[[#This Row],[no_utilities]]=1,12000,0))/IF(Granger_Inventory[[#This Row],[unbuildable]]=1,2,1)</f>
        <v>44185.343337262602</v>
      </c>
      <c r="BX88" s="8">
        <f>Granger_Inventory[[#This Row],[pre_res]]*Granger_Inventory[[#This Row],[overall_adj]]</f>
        <v>167039.37884550204</v>
      </c>
      <c r="BY88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88">
        <f>ROUND(Granger_Inventory[[#This Row],[detatched_value]]*Lookups!$I$45,-2)</f>
        <v>0</v>
      </c>
      <c r="CA88">
        <f>IF(ROUND(Granger_Inventory[[#This Row],[adj_res]]*Lookups!$I$45,-2)&lt;Granger_Inventory[[#This Row],[min_res]],Granger_Inventory[[#This Row],[min_res]],ROUND(Granger_Inventory[[#This Row],[adj_res]]*Lookups!$I$45,-2))</f>
        <v>158700</v>
      </c>
      <c r="CB88">
        <f>Granger_Inventory[[#This Row],[final_det]]+Granger_Inventory[[#This Row],[final_res]]</f>
        <v>158700</v>
      </c>
      <c r="CC88">
        <f>Granger_Inventory[[#This Row],[final_land]]+Granger_Inventory[[#This Row],[final_imp]]+Granger_Inventory[[#This Row],[crop_value]]</f>
        <v>200700</v>
      </c>
      <c r="CE88" t="str">
        <f t="shared" si="1"/>
        <v>update valuation set market_land =42000, market_bldg=158700, market_total =200700, market_mdno =402, market_date ='9/10/2023' where link_id = (select link_id from parcel where parcel_year = '2024' and parcel_id = '21101534011');</v>
      </c>
    </row>
    <row r="89" spans="1:83" x14ac:dyDescent="0.25">
      <c r="A89">
        <v>21101534022</v>
      </c>
      <c r="B89">
        <v>0.94</v>
      </c>
      <c r="C89">
        <v>40734</v>
      </c>
      <c r="D89" t="s">
        <v>137</v>
      </c>
      <c r="E89" t="s">
        <v>54</v>
      </c>
      <c r="F89" t="s">
        <v>54</v>
      </c>
      <c r="G89">
        <v>3</v>
      </c>
      <c r="H89" t="s">
        <v>55</v>
      </c>
      <c r="I89">
        <v>113300</v>
      </c>
      <c r="J89">
        <v>34800</v>
      </c>
      <c r="K89">
        <v>0.94</v>
      </c>
      <c r="L89">
        <f>IF(Granger_Inventory[[#This Row],[parcel_acres]]-Granger_Inventory[[#This Row],[non_valued_acres]] =0,0,LN(Granger_Inventory[[#This Row],[parcel_acres]]-Granger_Inventory[[#This Row],[non_valued_acres]]))</f>
        <v>-6.1875403718087529E-2</v>
      </c>
      <c r="M89">
        <v>0</v>
      </c>
      <c r="N89">
        <v>0</v>
      </c>
      <c r="O89">
        <v>0</v>
      </c>
      <c r="P89">
        <v>47108.068500000001</v>
      </c>
      <c r="Q89">
        <v>122298</v>
      </c>
      <c r="R89">
        <f>(Granger_Inventory[[#This Row],[ln_acres]]*Granger_Inventory[[#This Row],[coeff]])+Granger_Inventory[[#This Row],[const]]</f>
        <v>119383.16924318318</v>
      </c>
      <c r="S89" t="s">
        <v>69</v>
      </c>
      <c r="T89">
        <v>1</v>
      </c>
      <c r="U89" t="s">
        <v>71</v>
      </c>
      <c r="V89" t="s">
        <v>72</v>
      </c>
      <c r="W89">
        <v>0</v>
      </c>
      <c r="X89">
        <v>0</v>
      </c>
      <c r="Y89">
        <v>51</v>
      </c>
      <c r="Z89">
        <v>83</v>
      </c>
      <c r="AA89">
        <v>90</v>
      </c>
      <c r="AB89">
        <v>1000</v>
      </c>
      <c r="AC89">
        <v>788</v>
      </c>
      <c r="AD89">
        <v>788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16</v>
      </c>
      <c r="AO89">
        <v>50</v>
      </c>
      <c r="AP89">
        <v>5</v>
      </c>
      <c r="AQ89">
        <v>0</v>
      </c>
      <c r="AR89">
        <v>0</v>
      </c>
      <c r="AS89" t="s">
        <v>81</v>
      </c>
      <c r="AT89">
        <v>1</v>
      </c>
      <c r="AU89" t="s">
        <v>60</v>
      </c>
      <c r="AV89" t="s">
        <v>61</v>
      </c>
      <c r="AW89">
        <v>0</v>
      </c>
      <c r="AX89">
        <v>2</v>
      </c>
      <c r="AY89">
        <v>0</v>
      </c>
      <c r="AZ89">
        <v>3400</v>
      </c>
      <c r="BA89">
        <v>100</v>
      </c>
      <c r="BB89">
        <v>100</v>
      </c>
      <c r="BC89">
        <v>100</v>
      </c>
      <c r="BD89">
        <v>100</v>
      </c>
      <c r="BE89">
        <v>1</v>
      </c>
      <c r="BF89">
        <v>15000</v>
      </c>
      <c r="BG89">
        <v>1000</v>
      </c>
      <c r="BH89" s="8">
        <f>Granger_Inventory[[#This Row],[land_extract]]*Lookups!$B$3</f>
        <v>71120.230919776906</v>
      </c>
      <c r="BI89" s="8">
        <f>IF(Granger_Inventory[[#This Row],[bldg_style]]="",0,Lookups!$B$2)</f>
        <v>29703.559000000001</v>
      </c>
      <c r="BJ89" s="8">
        <f>_xlfn.IFNA(VLOOKUP(Granger_Inventory[[#This Row],[quality]],Lookups!$H$2:$J$14,3,FALSE),0)</f>
        <v>34195</v>
      </c>
      <c r="BK89" s="8">
        <f>_xlfn.IFNA(VLOOKUP(Granger_Inventory[[#This Row],[condition]],Lookups!$H$17:$J$24,3,FALSE),0)</f>
        <v>94106</v>
      </c>
      <c r="BL89" s="8">
        <f>Granger_Inventory[[#This Row],[Age]]*Lookups!$B$16</f>
        <v>-17208.481299999999</v>
      </c>
      <c r="BM89" s="8">
        <f>Granger_Inventory[[#This Row],[living_area]]*Lookups!$B$17</f>
        <v>53011.052292</v>
      </c>
      <c r="BN89" s="8">
        <f>(Granger_Inventory[[#This Row],[att_gar]]+Granger_Inventory[[#This Row],[blt_gar]])*Lookups!$B$18</f>
        <v>0</v>
      </c>
      <c r="BO89" s="8">
        <f>Granger_Inventory[[#This Row],[Patio]]*Lookups!$B$19</f>
        <v>0</v>
      </c>
      <c r="BP89" s="8">
        <f>SUM(Granger_Inventory[[#This Row],[Intercept]:[Patio_Value]])*Granger_Inventory[[#This Row],[res_pct]]</f>
        <v>193807.12999200003</v>
      </c>
      <c r="BQ89" s="8">
        <f>Granger_Inventory[[#This Row],[land_value]]</f>
        <v>71120.230919776906</v>
      </c>
      <c r="BR89" s="4">
        <f>_xlfn.IFNA(VLOOKUP(Granger_Inventory[[#This Row],[quality]],Lookups!$A$25:$C$35,3,FALSE),1)</f>
        <v>0.98258795897788032</v>
      </c>
      <c r="BS89" s="4">
        <f>_xlfn.IFNA(VLOOKUP(Granger_Inventory[[#This Row],[condition]],Lookups!$A$38:$C$45,3,FALSE),1)</f>
        <v>0.98658583151544277</v>
      </c>
      <c r="BT89" s="4">
        <f>IF(Granger_Inventory[[#This Row],[decade]]="",1,_xlfn.IFNA(VLOOKUP(Granger_Inventory[[#This Row],[decade]],Lookups!$G$28:$I$42,3,FALSE),1))</f>
        <v>0.95234610137492615</v>
      </c>
      <c r="BU89" s="4">
        <f>_xlfn.IFNA(VLOOKUP(Granger_Inventory[[#This Row],[living_area_range]],Lookups!$A$48:$C$57,3,FALSE),1)</f>
        <v>0.81272404900450645</v>
      </c>
      <c r="BV89" s="4">
        <f>AVERAGE(Granger_Inventory[[#This Row],[qual_adj]:[living_range_adj]])</f>
        <v>0.93356098521818898</v>
      </c>
      <c r="BW89" s="8">
        <f>(Granger_Inventory[[#This Row],[sum_land]]-IF(Granger_Inventory[[#This Row],[no_utilities]]=1,12000,0))/IF(Granger_Inventory[[#This Row],[unbuildable]]=1,2,1)</f>
        <v>71120.230919776906</v>
      </c>
      <c r="BX89" s="8">
        <f>Granger_Inventory[[#This Row],[pre_res]]*Granger_Inventory[[#This Row],[overall_adj]]</f>
        <v>180930.77521764117</v>
      </c>
      <c r="BY89">
        <f>IF(ROUND(Granger_Inventory[[#This Row],[adj_land]]*Lookups!$I$45,-2)&lt;Granger_Inventory[[#This Row],[min_land]],Granger_Inventory[[#This Row],[min_land]],ROUND(Granger_Inventory[[#This Row],[adj_land]]*Lookups!$I$45,-2))</f>
        <v>67600</v>
      </c>
      <c r="BZ89">
        <f>ROUND(Granger_Inventory[[#This Row],[detatched_value]]*Lookups!$I$45,-2)</f>
        <v>3200</v>
      </c>
      <c r="CA89">
        <f>IF(ROUND(Granger_Inventory[[#This Row],[adj_res]]*Lookups!$I$45,-2)&lt;Granger_Inventory[[#This Row],[min_res]],Granger_Inventory[[#This Row],[min_res]],ROUND(Granger_Inventory[[#This Row],[adj_res]]*Lookups!$I$45,-2))</f>
        <v>171900</v>
      </c>
      <c r="CB89">
        <f>Granger_Inventory[[#This Row],[final_det]]+Granger_Inventory[[#This Row],[final_res]]</f>
        <v>175100</v>
      </c>
      <c r="CC89">
        <f>Granger_Inventory[[#This Row],[final_land]]+Granger_Inventory[[#This Row],[final_imp]]+Granger_Inventory[[#This Row],[crop_value]]</f>
        <v>242700</v>
      </c>
      <c r="CE89" t="str">
        <f t="shared" si="1"/>
        <v>update valuation set market_land =67600, market_bldg=175100, market_total =242700, market_mdno =402, market_date ='9/10/2023' where link_id = (select link_id from parcel where parcel_year = '2024' and parcel_id = '21101534022');</v>
      </c>
    </row>
    <row r="90" spans="1:83" x14ac:dyDescent="0.25">
      <c r="A90">
        <v>21101534025</v>
      </c>
      <c r="B90">
        <v>11.19</v>
      </c>
      <c r="C90" t="s">
        <v>137</v>
      </c>
      <c r="D90" t="s">
        <v>137</v>
      </c>
      <c r="E90" t="s">
        <v>54</v>
      </c>
      <c r="F90" t="s">
        <v>54</v>
      </c>
      <c r="G90">
        <v>3</v>
      </c>
      <c r="H90" t="s">
        <v>55</v>
      </c>
      <c r="I90">
        <v>273200</v>
      </c>
      <c r="J90">
        <v>113500</v>
      </c>
      <c r="K90">
        <v>11.19</v>
      </c>
      <c r="L90">
        <f>IF(Granger_Inventory[[#This Row],[parcel_acres]]-Granger_Inventory[[#This Row],[non_valued_acres]] =0,0,LN(Granger_Inventory[[#This Row],[parcel_acres]]-Granger_Inventory[[#This Row],[non_valued_acres]]))</f>
        <v>2.4150205223238337</v>
      </c>
      <c r="M90">
        <v>0</v>
      </c>
      <c r="N90">
        <v>0</v>
      </c>
      <c r="O90">
        <v>0</v>
      </c>
      <c r="P90">
        <v>47108.068500000001</v>
      </c>
      <c r="Q90">
        <v>122298</v>
      </c>
      <c r="R90">
        <f>(Granger_Inventory[[#This Row],[ln_acres]]*Granger_Inventory[[#This Row],[coeff]])+Granger_Inventory[[#This Row],[const]]</f>
        <v>236064.95219453692</v>
      </c>
      <c r="S90" t="s">
        <v>69</v>
      </c>
      <c r="T90">
        <v>1</v>
      </c>
      <c r="U90" t="s">
        <v>57</v>
      </c>
      <c r="V90" t="s">
        <v>77</v>
      </c>
      <c r="W90">
        <v>0</v>
      </c>
      <c r="X90">
        <v>0</v>
      </c>
      <c r="Y90">
        <v>55</v>
      </c>
      <c r="Z90">
        <v>72</v>
      </c>
      <c r="AA90">
        <v>80</v>
      </c>
      <c r="AB90">
        <v>2500</v>
      </c>
      <c r="AC90">
        <v>2036</v>
      </c>
      <c r="AD90">
        <v>2036</v>
      </c>
      <c r="AE90">
        <v>0</v>
      </c>
      <c r="AF90">
        <v>0</v>
      </c>
      <c r="AG90">
        <v>0</v>
      </c>
      <c r="AH90">
        <v>0</v>
      </c>
      <c r="AI90">
        <v>528</v>
      </c>
      <c r="AJ90">
        <v>0</v>
      </c>
      <c r="AK90">
        <v>0</v>
      </c>
      <c r="AL90">
        <v>0</v>
      </c>
      <c r="AM90">
        <v>570</v>
      </c>
      <c r="AN90">
        <v>0</v>
      </c>
      <c r="AO90">
        <v>0</v>
      </c>
      <c r="AP90">
        <v>8</v>
      </c>
      <c r="AQ90">
        <v>1</v>
      </c>
      <c r="AR90">
        <v>1</v>
      </c>
      <c r="AS90" t="s">
        <v>81</v>
      </c>
      <c r="AT90">
        <v>1</v>
      </c>
      <c r="AU90" t="s">
        <v>60</v>
      </c>
      <c r="AV90" t="s">
        <v>145</v>
      </c>
      <c r="AW90">
        <v>0</v>
      </c>
      <c r="AX90">
        <v>2</v>
      </c>
      <c r="AY90">
        <v>15000</v>
      </c>
      <c r="AZ90">
        <v>8200</v>
      </c>
      <c r="BA90">
        <v>100</v>
      </c>
      <c r="BB90">
        <v>100</v>
      </c>
      <c r="BC90">
        <v>100</v>
      </c>
      <c r="BD90">
        <v>100</v>
      </c>
      <c r="BE90">
        <v>1</v>
      </c>
      <c r="BF90">
        <v>15000</v>
      </c>
      <c r="BG90">
        <v>1000</v>
      </c>
      <c r="BH90" s="8">
        <f>Granger_Inventory[[#This Row],[land_extract]]*Lookups!$B$3</f>
        <v>140631.16282281323</v>
      </c>
      <c r="BI90" s="8">
        <f>IF(Granger_Inventory[[#This Row],[bldg_style]]="",0,Lookups!$B$2)</f>
        <v>29703.559000000001</v>
      </c>
      <c r="BJ90" s="8">
        <f>_xlfn.IFNA(VLOOKUP(Granger_Inventory[[#This Row],[quality]],Lookups!$H$2:$J$14,3,FALSE),0)</f>
        <v>56414</v>
      </c>
      <c r="BK90" s="8">
        <f>_xlfn.IFNA(VLOOKUP(Granger_Inventory[[#This Row],[condition]],Lookups!$H$17:$J$24,3,FALSE),0)</f>
        <v>33736</v>
      </c>
      <c r="BL90" s="8">
        <f>Granger_Inventory[[#This Row],[Age]]*Lookups!$B$16</f>
        <v>-14927.839199999999</v>
      </c>
      <c r="BM90" s="8">
        <f>Granger_Inventory[[#This Row],[living_area]]*Lookups!$B$17</f>
        <v>136967.642724</v>
      </c>
      <c r="BN90" s="8">
        <f>(Granger_Inventory[[#This Row],[att_gar]]+Granger_Inventory[[#This Row],[blt_gar]])*Lookups!$B$18</f>
        <v>25580.325408000001</v>
      </c>
      <c r="BO90" s="8">
        <f>Granger_Inventory[[#This Row],[Patio]]*Lookups!$B$19</f>
        <v>30959.604719999999</v>
      </c>
      <c r="BP90" s="8">
        <f>SUM(Granger_Inventory[[#This Row],[Intercept]:[Patio_Value]])*Granger_Inventory[[#This Row],[res_pct]]</f>
        <v>298433.29265199997</v>
      </c>
      <c r="BQ90" s="8">
        <f>Granger_Inventory[[#This Row],[land_value]]</f>
        <v>140631.16282281323</v>
      </c>
      <c r="BR90" s="4">
        <f>_xlfn.IFNA(VLOOKUP(Granger_Inventory[[#This Row],[quality]],Lookups!$A$25:$C$35,3,FALSE),1)</f>
        <v>0.98791809110152173</v>
      </c>
      <c r="BS90" s="4">
        <f>_xlfn.IFNA(VLOOKUP(Granger_Inventory[[#This Row],[condition]],Lookups!$A$38:$C$45,3,FALSE),1)</f>
        <v>0.92294678898076177</v>
      </c>
      <c r="BT90" s="4">
        <f>IF(Granger_Inventory[[#This Row],[decade]]="",1,_xlfn.IFNA(VLOOKUP(Granger_Inventory[[#This Row],[decade]],Lookups!$G$28:$I$42,3,FALSE),1))</f>
        <v>0.76006056002554967</v>
      </c>
      <c r="BU90" s="4">
        <f>_xlfn.IFNA(VLOOKUP(Granger_Inventory[[#This Row],[living_area_range]],Lookups!$A$48:$C$57,3,FALSE),1)</f>
        <v>1.0000039906678986</v>
      </c>
      <c r="BV90" s="4">
        <f>AVERAGE(Granger_Inventory[[#This Row],[qual_adj]:[living_range_adj]])</f>
        <v>0.91773235769393291</v>
      </c>
      <c r="BW90" s="8">
        <f>(Granger_Inventory[[#This Row],[sum_land]]-IF(Granger_Inventory[[#This Row],[no_utilities]]=1,12000,0))/IF(Granger_Inventory[[#This Row],[unbuildable]]=1,2,1)</f>
        <v>140631.16282281323</v>
      </c>
      <c r="BX90" s="8">
        <f>Granger_Inventory[[#This Row],[pre_res]]*Granger_Inventory[[#This Row],[overall_adj]]</f>
        <v>273881.88927988341</v>
      </c>
      <c r="BY90">
        <f>IF(ROUND(Granger_Inventory[[#This Row],[adj_land]]*Lookups!$I$45,-2)&lt;Granger_Inventory[[#This Row],[min_land]],Granger_Inventory[[#This Row],[min_land]],ROUND(Granger_Inventory[[#This Row],[adj_land]]*Lookups!$I$45,-2))</f>
        <v>133600</v>
      </c>
      <c r="BZ90">
        <f>ROUND(Granger_Inventory[[#This Row],[detatched_value]]*Lookups!$I$45,-2)</f>
        <v>7800</v>
      </c>
      <c r="CA90">
        <f>IF(ROUND(Granger_Inventory[[#This Row],[adj_res]]*Lookups!$I$45,-2)&lt;Granger_Inventory[[#This Row],[min_res]],Granger_Inventory[[#This Row],[min_res]],ROUND(Granger_Inventory[[#This Row],[adj_res]]*Lookups!$I$45,-2))</f>
        <v>260200</v>
      </c>
      <c r="CB90">
        <f>Granger_Inventory[[#This Row],[final_det]]+Granger_Inventory[[#This Row],[final_res]]</f>
        <v>268000</v>
      </c>
      <c r="CC90">
        <f>Granger_Inventory[[#This Row],[final_land]]+Granger_Inventory[[#This Row],[final_imp]]+Granger_Inventory[[#This Row],[crop_value]]</f>
        <v>416600</v>
      </c>
      <c r="CE90" t="str">
        <f t="shared" si="1"/>
        <v>update valuation set market_land =133600, market_bldg=268000, market_total =416600, market_mdno =402, market_date ='9/10/2023' where link_id = (select link_id from parcel where parcel_year = '2024' and parcel_id = '21101534025');</v>
      </c>
    </row>
    <row r="91" spans="1:83" x14ac:dyDescent="0.25">
      <c r="A91">
        <v>21101534401</v>
      </c>
      <c r="B91">
        <v>0.4</v>
      </c>
      <c r="C91" t="s">
        <v>137</v>
      </c>
      <c r="D91" t="s">
        <v>137</v>
      </c>
      <c r="E91" t="s">
        <v>54</v>
      </c>
      <c r="F91" t="s">
        <v>54</v>
      </c>
      <c r="G91">
        <v>3</v>
      </c>
      <c r="H91" t="s">
        <v>55</v>
      </c>
      <c r="I91">
        <v>62600</v>
      </c>
      <c r="J91">
        <v>30100</v>
      </c>
      <c r="K91">
        <v>0.4</v>
      </c>
      <c r="L91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91">
        <v>0</v>
      </c>
      <c r="N91">
        <v>0</v>
      </c>
      <c r="O91">
        <v>0</v>
      </c>
      <c r="P91">
        <v>47108.068500000001</v>
      </c>
      <c r="Q91">
        <v>122298</v>
      </c>
      <c r="R91">
        <f>(Granger_Inventory[[#This Row],[ln_acres]]*Granger_Inventory[[#This Row],[coeff]])+Granger_Inventory[[#This Row],[const]]</f>
        <v>79133.313436957164</v>
      </c>
      <c r="S91" t="s">
        <v>62</v>
      </c>
      <c r="T91">
        <v>2</v>
      </c>
      <c r="U91" t="s">
        <v>78</v>
      </c>
      <c r="V91" t="s">
        <v>79</v>
      </c>
      <c r="W91">
        <v>0</v>
      </c>
      <c r="X91">
        <v>0</v>
      </c>
      <c r="Y91">
        <v>74</v>
      </c>
      <c r="Z91">
        <v>122</v>
      </c>
      <c r="AA91">
        <v>130</v>
      </c>
      <c r="AB91">
        <v>1500</v>
      </c>
      <c r="AC91">
        <v>1196</v>
      </c>
      <c r="AD91">
        <v>884</v>
      </c>
      <c r="AE91">
        <v>312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18</v>
      </c>
      <c r="AO91">
        <v>0</v>
      </c>
      <c r="AP91">
        <v>5</v>
      </c>
      <c r="AQ91">
        <v>0</v>
      </c>
      <c r="AR91">
        <v>0</v>
      </c>
      <c r="AS91" t="s">
        <v>59</v>
      </c>
      <c r="AT91">
        <v>1</v>
      </c>
      <c r="AU91" t="s">
        <v>60</v>
      </c>
      <c r="AV91" t="s">
        <v>61</v>
      </c>
      <c r="AW91">
        <v>0</v>
      </c>
      <c r="AX91">
        <v>2</v>
      </c>
      <c r="AY91">
        <v>0</v>
      </c>
      <c r="AZ91">
        <v>6400</v>
      </c>
      <c r="BA91">
        <v>100</v>
      </c>
      <c r="BB91">
        <v>100</v>
      </c>
      <c r="BC91">
        <v>100</v>
      </c>
      <c r="BD91">
        <v>100</v>
      </c>
      <c r="BE91">
        <v>1</v>
      </c>
      <c r="BF91">
        <v>15000</v>
      </c>
      <c r="BG91">
        <v>1000</v>
      </c>
      <c r="BH91" s="8">
        <f>Granger_Inventory[[#This Row],[land_extract]]*Lookups!$B$3</f>
        <v>47142.152120449238</v>
      </c>
      <c r="BI91" s="8">
        <f>IF(Granger_Inventory[[#This Row],[bldg_style]]="",0,Lookups!$B$2)</f>
        <v>29703.559000000001</v>
      </c>
      <c r="BJ91" s="8">
        <f>_xlfn.IFNA(VLOOKUP(Granger_Inventory[[#This Row],[quality]],Lookups!$H$2:$J$14,3,FALSE),0)</f>
        <v>23737.786340274597</v>
      </c>
      <c r="BK91" s="8">
        <f>_xlfn.IFNA(VLOOKUP(Granger_Inventory[[#This Row],[condition]],Lookups!$H$17:$J$24,3,FALSE),0)</f>
        <v>86727</v>
      </c>
      <c r="BL91" s="8">
        <f>Granger_Inventory[[#This Row],[Age]]*Lookups!$B$16</f>
        <v>-25294.394199999999</v>
      </c>
      <c r="BM91" s="8">
        <f>Granger_Inventory[[#This Row],[living_area]]*Lookups!$B$17</f>
        <v>80458.399164000002</v>
      </c>
      <c r="BN91" s="8">
        <f>(Granger_Inventory[[#This Row],[att_gar]]+Granger_Inventory[[#This Row],[blt_gar]])*Lookups!$B$18</f>
        <v>0</v>
      </c>
      <c r="BO91" s="8">
        <f>Granger_Inventory[[#This Row],[Patio]]*Lookups!$B$19</f>
        <v>0</v>
      </c>
      <c r="BP91" s="8">
        <f>SUM(Granger_Inventory[[#This Row],[Intercept]:[Patio_Value]])*Granger_Inventory[[#This Row],[res_pct]]</f>
        <v>195332.35030427459</v>
      </c>
      <c r="BQ91" s="8">
        <f>Granger_Inventory[[#This Row],[land_value]]</f>
        <v>47142.152120449238</v>
      </c>
      <c r="BR91" s="4">
        <f>_xlfn.IFNA(VLOOKUP(Granger_Inventory[[#This Row],[quality]],Lookups!$A$25:$C$35,3,FALSE),1)</f>
        <v>0.77695375541795109</v>
      </c>
      <c r="BS91" s="4">
        <f>_xlfn.IFNA(VLOOKUP(Granger_Inventory[[#This Row],[condition]],Lookups!$A$38:$C$45,3,FALSE),1)</f>
        <v>0.85322907131620684</v>
      </c>
      <c r="BT91" s="4">
        <f>IF(Granger_Inventory[[#This Row],[decade]]="",1,_xlfn.IFNA(VLOOKUP(Granger_Inventory[[#This Row],[decade]],Lookups!$G$28:$I$42,3,FALSE),1))</f>
        <v>0.879441629375324</v>
      </c>
      <c r="BU91" s="4">
        <f>_xlfn.IFNA(VLOOKUP(Granger_Inventory[[#This Row],[living_area_range]],Lookups!$A$48:$C$57,3,FALSE),1)</f>
        <v>0.97960506760539345</v>
      </c>
      <c r="BV91" s="4">
        <f>AVERAGE(Granger_Inventory[[#This Row],[qual_adj]:[living_range_adj]])</f>
        <v>0.87230738092871896</v>
      </c>
      <c r="BW91" s="8">
        <f>(Granger_Inventory[[#This Row],[sum_land]]-IF(Granger_Inventory[[#This Row],[no_utilities]]=1,12000,0))/IF(Granger_Inventory[[#This Row],[unbuildable]]=1,2,1)</f>
        <v>47142.152120449238</v>
      </c>
      <c r="BX91" s="8">
        <f>Granger_Inventory[[#This Row],[pre_res]]*Granger_Inventory[[#This Row],[overall_adj]]</f>
        <v>170389.85090457281</v>
      </c>
      <c r="BY91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91">
        <f>ROUND(Granger_Inventory[[#This Row],[detatched_value]]*Lookups!$I$45,-2)</f>
        <v>6100</v>
      </c>
      <c r="CA91">
        <f>IF(ROUND(Granger_Inventory[[#This Row],[adj_res]]*Lookups!$I$45,-2)&lt;Granger_Inventory[[#This Row],[min_res]],Granger_Inventory[[#This Row],[min_res]],ROUND(Granger_Inventory[[#This Row],[adj_res]]*Lookups!$I$45,-2))</f>
        <v>161900</v>
      </c>
      <c r="CB91">
        <f>Granger_Inventory[[#This Row],[final_det]]+Granger_Inventory[[#This Row],[final_res]]</f>
        <v>168000</v>
      </c>
      <c r="CC91">
        <f>Granger_Inventory[[#This Row],[final_land]]+Granger_Inventory[[#This Row],[final_imp]]+Granger_Inventory[[#This Row],[crop_value]]</f>
        <v>212800</v>
      </c>
      <c r="CE91" t="str">
        <f t="shared" si="1"/>
        <v>update valuation set market_land =44800, market_bldg=168000, market_total =212800, market_mdno =402, market_date ='9/10/2023' where link_id = (select link_id from parcel where parcel_year = '2024' and parcel_id = '21101534401');</v>
      </c>
    </row>
    <row r="92" spans="1:83" x14ac:dyDescent="0.25">
      <c r="A92">
        <v>21101534403</v>
      </c>
      <c r="B92">
        <v>0.49</v>
      </c>
      <c r="C92" t="s">
        <v>137</v>
      </c>
      <c r="D92" t="s">
        <v>137</v>
      </c>
      <c r="E92" t="s">
        <v>54</v>
      </c>
      <c r="F92" t="s">
        <v>54</v>
      </c>
      <c r="G92">
        <v>3</v>
      </c>
      <c r="H92" t="s">
        <v>55</v>
      </c>
      <c r="I92">
        <v>392800</v>
      </c>
      <c r="J92">
        <v>31200</v>
      </c>
      <c r="K92">
        <v>0.49</v>
      </c>
      <c r="L92">
        <f>IF(Granger_Inventory[[#This Row],[parcel_acres]]-Granger_Inventory[[#This Row],[non_valued_acres]] =0,0,LN(Granger_Inventory[[#This Row],[parcel_acres]]-Granger_Inventory[[#This Row],[non_valued_acres]]))</f>
        <v>-0.71334988787746478</v>
      </c>
      <c r="M92">
        <v>0</v>
      </c>
      <c r="N92">
        <v>0</v>
      </c>
      <c r="O92">
        <v>0</v>
      </c>
      <c r="P92">
        <v>47108.068500000001</v>
      </c>
      <c r="Q92">
        <v>122298</v>
      </c>
      <c r="R92">
        <f>(Granger_Inventory[[#This Row],[ln_acres]]*Granger_Inventory[[#This Row],[coeff]])+Granger_Inventory[[#This Row],[const]]</f>
        <v>88693.46461740107</v>
      </c>
      <c r="S92" t="s">
        <v>62</v>
      </c>
      <c r="T92">
        <v>2</v>
      </c>
      <c r="U92" t="s">
        <v>64</v>
      </c>
      <c r="V92" t="s">
        <v>72</v>
      </c>
      <c r="W92">
        <v>0</v>
      </c>
      <c r="X92">
        <v>0</v>
      </c>
      <c r="Y92">
        <v>55</v>
      </c>
      <c r="Z92">
        <v>98</v>
      </c>
      <c r="AA92">
        <v>100</v>
      </c>
      <c r="AB92">
        <v>3500</v>
      </c>
      <c r="AC92">
        <v>3396</v>
      </c>
      <c r="AD92">
        <v>2016</v>
      </c>
      <c r="AE92">
        <v>1380</v>
      </c>
      <c r="AF92">
        <v>0</v>
      </c>
      <c r="AG92">
        <v>0</v>
      </c>
      <c r="AH92">
        <v>0</v>
      </c>
      <c r="AI92">
        <v>0</v>
      </c>
      <c r="AJ92">
        <v>408</v>
      </c>
      <c r="AK92">
        <v>0</v>
      </c>
      <c r="AL92">
        <v>0</v>
      </c>
      <c r="AM92">
        <v>0</v>
      </c>
      <c r="AN92">
        <v>162</v>
      </c>
      <c r="AO92">
        <v>0</v>
      </c>
      <c r="AP92">
        <v>8</v>
      </c>
      <c r="AQ92">
        <v>0</v>
      </c>
      <c r="AR92">
        <v>0</v>
      </c>
      <c r="AS92" t="s">
        <v>59</v>
      </c>
      <c r="AT92">
        <v>1</v>
      </c>
      <c r="AU92" t="s">
        <v>63</v>
      </c>
      <c r="AV92" t="s">
        <v>65</v>
      </c>
      <c r="AW92">
        <v>1</v>
      </c>
      <c r="AX92">
        <v>4</v>
      </c>
      <c r="AY92">
        <v>0</v>
      </c>
      <c r="AZ92">
        <v>29900</v>
      </c>
      <c r="BA92">
        <v>100</v>
      </c>
      <c r="BB92">
        <v>100</v>
      </c>
      <c r="BC92">
        <v>100</v>
      </c>
      <c r="BD92">
        <v>100</v>
      </c>
      <c r="BE92">
        <v>1</v>
      </c>
      <c r="BF92">
        <v>15000</v>
      </c>
      <c r="BG92">
        <v>1000</v>
      </c>
      <c r="BH92" s="8">
        <f>Granger_Inventory[[#This Row],[land_extract]]*Lookups!$B$3</f>
        <v>52837.428631296032</v>
      </c>
      <c r="BI92" s="8">
        <f>IF(Granger_Inventory[[#This Row],[bldg_style]]="",0,Lookups!$B$2)</f>
        <v>29703.559000000001</v>
      </c>
      <c r="BJ92" s="8">
        <f>_xlfn.IFNA(VLOOKUP(Granger_Inventory[[#This Row],[quality]],Lookups!$H$2:$J$14,3,FALSE),0)</f>
        <v>36568</v>
      </c>
      <c r="BK92" s="8">
        <f>_xlfn.IFNA(VLOOKUP(Granger_Inventory[[#This Row],[condition]],Lookups!$H$17:$J$24,3,FALSE),0)</f>
        <v>94106</v>
      </c>
      <c r="BL92" s="8">
        <f>Granger_Inventory[[#This Row],[Age]]*Lookups!$B$16</f>
        <v>-20318.447799999998</v>
      </c>
      <c r="BM92" s="8">
        <f>Granger_Inventory[[#This Row],[living_area]]*Lookups!$B$17</f>
        <v>228458.79896399999</v>
      </c>
      <c r="BN92" s="8">
        <f>(Granger_Inventory[[#This Row],[att_gar]]+Granger_Inventory[[#This Row],[blt_gar]])*Lookups!$B$18</f>
        <v>19766.615087999999</v>
      </c>
      <c r="BO92" s="8">
        <f>Granger_Inventory[[#This Row],[Patio]]*Lookups!$B$19</f>
        <v>0</v>
      </c>
      <c r="BP92" s="8">
        <f>SUM(Granger_Inventory[[#This Row],[Intercept]:[Patio_Value]])*Granger_Inventory[[#This Row],[res_pct]]</f>
        <v>388284.52525200002</v>
      </c>
      <c r="BQ92" s="8">
        <f>Granger_Inventory[[#This Row],[land_value]]</f>
        <v>52837.428631296032</v>
      </c>
      <c r="BR92" s="4">
        <f>_xlfn.IFNA(VLOOKUP(Granger_Inventory[[#This Row],[quality]],Lookups!$A$25:$C$35,3,FALSE),1)</f>
        <v>0.99049976351917957</v>
      </c>
      <c r="BS92" s="4">
        <f>_xlfn.IFNA(VLOOKUP(Granger_Inventory[[#This Row],[condition]],Lookups!$A$38:$C$45,3,FALSE),1)</f>
        <v>0.98658583151544277</v>
      </c>
      <c r="BT92" s="4">
        <f>IF(Granger_Inventory[[#This Row],[decade]]="",1,_xlfn.IFNA(VLOOKUP(Granger_Inventory[[#This Row],[decade]],Lookups!$G$28:$I$42,3,FALSE),1))</f>
        <v>0.879441629375324</v>
      </c>
      <c r="BU92" s="4">
        <f>_xlfn.IFNA(VLOOKUP(Granger_Inventory[[#This Row],[living_area_range]],Lookups!$A$48:$C$57,3,FALSE),1)</f>
        <v>0.99995754169072248</v>
      </c>
      <c r="BV92" s="4">
        <f>AVERAGE(Granger_Inventory[[#This Row],[qual_adj]:[living_range_adj]])</f>
        <v>0.96412119152516729</v>
      </c>
      <c r="BW92" s="8">
        <f>(Granger_Inventory[[#This Row],[sum_land]]-IF(Granger_Inventory[[#This Row],[no_utilities]]=1,12000,0))/IF(Granger_Inventory[[#This Row],[unbuildable]]=1,2,1)</f>
        <v>52837.428631296032</v>
      </c>
      <c r="BX92" s="8">
        <f>Granger_Inventory[[#This Row],[pre_res]]*Granger_Inventory[[#This Row],[overall_adj]]</f>
        <v>374353.33913674217</v>
      </c>
      <c r="BY92">
        <f>IF(ROUND(Granger_Inventory[[#This Row],[adj_land]]*Lookups!$I$45,-2)&lt;Granger_Inventory[[#This Row],[min_land]],Granger_Inventory[[#This Row],[min_land]],ROUND(Granger_Inventory[[#This Row],[adj_land]]*Lookups!$I$45,-2))</f>
        <v>50200</v>
      </c>
      <c r="BZ92">
        <f>ROUND(Granger_Inventory[[#This Row],[detatched_value]]*Lookups!$I$45,-2)</f>
        <v>28400</v>
      </c>
      <c r="CA92">
        <f>IF(ROUND(Granger_Inventory[[#This Row],[adj_res]]*Lookups!$I$45,-2)&lt;Granger_Inventory[[#This Row],[min_res]],Granger_Inventory[[#This Row],[min_res]],ROUND(Granger_Inventory[[#This Row],[adj_res]]*Lookups!$I$45,-2))</f>
        <v>355600</v>
      </c>
      <c r="CB92">
        <f>Granger_Inventory[[#This Row],[final_det]]+Granger_Inventory[[#This Row],[final_res]]</f>
        <v>384000</v>
      </c>
      <c r="CC92">
        <f>Granger_Inventory[[#This Row],[final_land]]+Granger_Inventory[[#This Row],[final_imp]]+Granger_Inventory[[#This Row],[crop_value]]</f>
        <v>434200</v>
      </c>
      <c r="CE92" t="str">
        <f t="shared" si="1"/>
        <v>update valuation set market_land =50200, market_bldg=384000, market_total =434200, market_mdno =402, market_date ='9/10/2023' where link_id = (select link_id from parcel where parcel_year = '2024' and parcel_id = '21101534403');</v>
      </c>
    </row>
    <row r="93" spans="1:83" x14ac:dyDescent="0.25">
      <c r="A93">
        <v>21101534404</v>
      </c>
      <c r="B93">
        <v>1.37</v>
      </c>
      <c r="C93" t="s">
        <v>137</v>
      </c>
      <c r="D93" t="s">
        <v>137</v>
      </c>
      <c r="E93" t="s">
        <v>54</v>
      </c>
      <c r="F93" t="s">
        <v>54</v>
      </c>
      <c r="G93">
        <v>3</v>
      </c>
      <c r="H93" t="s">
        <v>55</v>
      </c>
      <c r="I93">
        <v>237600</v>
      </c>
      <c r="J93">
        <v>36900</v>
      </c>
      <c r="K93">
        <v>1.37</v>
      </c>
      <c r="L93">
        <f>IF(Granger_Inventory[[#This Row],[parcel_acres]]-Granger_Inventory[[#This Row],[non_valued_acres]] =0,0,LN(Granger_Inventory[[#This Row],[parcel_acres]]-Granger_Inventory[[#This Row],[non_valued_acres]]))</f>
        <v>0.3148107398400336</v>
      </c>
      <c r="M93">
        <v>0</v>
      </c>
      <c r="N93">
        <v>0</v>
      </c>
      <c r="O93">
        <v>0</v>
      </c>
      <c r="P93">
        <v>47108.068500000001</v>
      </c>
      <c r="Q93">
        <v>122298</v>
      </c>
      <c r="R93">
        <f>(Granger_Inventory[[#This Row],[ln_acres]]*Granger_Inventory[[#This Row],[coeff]])+Granger_Inventory[[#This Row],[const]]</f>
        <v>137128.12589691998</v>
      </c>
      <c r="S93" t="s">
        <v>62</v>
      </c>
      <c r="T93">
        <v>2</v>
      </c>
      <c r="U93" t="s">
        <v>71</v>
      </c>
      <c r="V93" t="s">
        <v>77</v>
      </c>
      <c r="W93">
        <v>0</v>
      </c>
      <c r="X93">
        <v>0</v>
      </c>
      <c r="Y93">
        <v>50</v>
      </c>
      <c r="Z93">
        <v>75</v>
      </c>
      <c r="AA93">
        <v>80</v>
      </c>
      <c r="AB93">
        <v>2500</v>
      </c>
      <c r="AC93">
        <v>2456</v>
      </c>
      <c r="AD93">
        <v>1848</v>
      </c>
      <c r="AE93">
        <v>608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288</v>
      </c>
      <c r="AL93">
        <v>240</v>
      </c>
      <c r="AM93">
        <v>285</v>
      </c>
      <c r="AN93">
        <v>0</v>
      </c>
      <c r="AO93">
        <v>285</v>
      </c>
      <c r="AP93">
        <v>11</v>
      </c>
      <c r="AQ93">
        <v>2</v>
      </c>
      <c r="AR93">
        <v>0</v>
      </c>
      <c r="AS93" t="s">
        <v>59</v>
      </c>
      <c r="AT93">
        <v>1</v>
      </c>
      <c r="AU93" t="s">
        <v>60</v>
      </c>
      <c r="AV93" t="s">
        <v>144</v>
      </c>
      <c r="AW93">
        <v>0</v>
      </c>
      <c r="AX93">
        <v>3</v>
      </c>
      <c r="AY93">
        <v>0</v>
      </c>
      <c r="AZ93">
        <v>25800</v>
      </c>
      <c r="BA93">
        <v>100</v>
      </c>
      <c r="BB93">
        <v>100</v>
      </c>
      <c r="BC93">
        <v>100</v>
      </c>
      <c r="BD93">
        <v>100</v>
      </c>
      <c r="BE93">
        <v>1</v>
      </c>
      <c r="BF93">
        <v>15000</v>
      </c>
      <c r="BG93">
        <v>1000</v>
      </c>
      <c r="BH93" s="8">
        <f>Granger_Inventory[[#This Row],[land_extract]]*Lookups!$B$3</f>
        <v>81691.448143072863</v>
      </c>
      <c r="BI93" s="8">
        <f>IF(Granger_Inventory[[#This Row],[bldg_style]]="",0,Lookups!$B$2)</f>
        <v>29703.559000000001</v>
      </c>
      <c r="BJ93" s="8">
        <f>_xlfn.IFNA(VLOOKUP(Granger_Inventory[[#This Row],[quality]],Lookups!$H$2:$J$14,3,FALSE),0)</f>
        <v>34195</v>
      </c>
      <c r="BK93" s="8">
        <f>_xlfn.IFNA(VLOOKUP(Granger_Inventory[[#This Row],[condition]],Lookups!$H$17:$J$24,3,FALSE),0)</f>
        <v>33736</v>
      </c>
      <c r="BL93" s="8">
        <f>Granger_Inventory[[#This Row],[Age]]*Lookups!$B$16</f>
        <v>-15549.832499999999</v>
      </c>
      <c r="BM93" s="8">
        <f>Granger_Inventory[[#This Row],[living_area]]*Lookups!$B$17</f>
        <v>165222.26450399999</v>
      </c>
      <c r="BN93" s="8">
        <f>(Granger_Inventory[[#This Row],[att_gar]]+Granger_Inventory[[#This Row],[blt_gar]])*Lookups!$B$18</f>
        <v>0</v>
      </c>
      <c r="BO93" s="8">
        <f>Granger_Inventory[[#This Row],[Patio]]*Lookups!$B$19</f>
        <v>15479.80236</v>
      </c>
      <c r="BP93" s="8">
        <f>SUM(Granger_Inventory[[#This Row],[Intercept]:[Patio_Value]])*Granger_Inventory[[#This Row],[res_pct]]</f>
        <v>262786.79336399998</v>
      </c>
      <c r="BQ93" s="8">
        <f>Granger_Inventory[[#This Row],[land_value]]</f>
        <v>81691.448143072863</v>
      </c>
      <c r="BR93" s="4">
        <f>_xlfn.IFNA(VLOOKUP(Granger_Inventory[[#This Row],[quality]],Lookups!$A$25:$C$35,3,FALSE),1)</f>
        <v>0.98258795897788032</v>
      </c>
      <c r="BS93" s="4">
        <f>_xlfn.IFNA(VLOOKUP(Granger_Inventory[[#This Row],[condition]],Lookups!$A$38:$C$45,3,FALSE),1)</f>
        <v>0.92294678898076177</v>
      </c>
      <c r="BT93" s="4">
        <f>IF(Granger_Inventory[[#This Row],[decade]]="",1,_xlfn.IFNA(VLOOKUP(Granger_Inventory[[#This Row],[decade]],Lookups!$G$28:$I$42,3,FALSE),1))</f>
        <v>0.76006056002554967</v>
      </c>
      <c r="BU93" s="4">
        <f>_xlfn.IFNA(VLOOKUP(Granger_Inventory[[#This Row],[living_area_range]],Lookups!$A$48:$C$57,3,FALSE),1)</f>
        <v>1.0000039906678986</v>
      </c>
      <c r="BV93" s="4">
        <f>AVERAGE(Granger_Inventory[[#This Row],[qual_adj]:[living_range_adj]])</f>
        <v>0.9163998246630225</v>
      </c>
      <c r="BW93" s="8">
        <f>(Granger_Inventory[[#This Row],[sum_land]]-IF(Granger_Inventory[[#This Row],[no_utilities]]=1,12000,0))/IF(Granger_Inventory[[#This Row],[unbuildable]]=1,2,1)</f>
        <v>81691.448143072863</v>
      </c>
      <c r="BX93" s="8">
        <f>Granger_Inventory[[#This Row],[pre_res]]*Granger_Inventory[[#This Row],[overall_adj]]</f>
        <v>240817.77136252751</v>
      </c>
      <c r="BY93">
        <f>IF(ROUND(Granger_Inventory[[#This Row],[adj_land]]*Lookups!$I$45,-2)&lt;Granger_Inventory[[#This Row],[min_land]],Granger_Inventory[[#This Row],[min_land]],ROUND(Granger_Inventory[[#This Row],[adj_land]]*Lookups!$I$45,-2))</f>
        <v>77600</v>
      </c>
      <c r="BZ93">
        <f>ROUND(Granger_Inventory[[#This Row],[detatched_value]]*Lookups!$I$45,-2)</f>
        <v>24500</v>
      </c>
      <c r="CA93">
        <f>IF(ROUND(Granger_Inventory[[#This Row],[adj_res]]*Lookups!$I$45,-2)&lt;Granger_Inventory[[#This Row],[min_res]],Granger_Inventory[[#This Row],[min_res]],ROUND(Granger_Inventory[[#This Row],[adj_res]]*Lookups!$I$45,-2))</f>
        <v>228800</v>
      </c>
      <c r="CB93">
        <f>Granger_Inventory[[#This Row],[final_det]]+Granger_Inventory[[#This Row],[final_res]]</f>
        <v>253300</v>
      </c>
      <c r="CC93">
        <f>Granger_Inventory[[#This Row],[final_land]]+Granger_Inventory[[#This Row],[final_imp]]+Granger_Inventory[[#This Row],[crop_value]]</f>
        <v>330900</v>
      </c>
      <c r="CE93" t="str">
        <f t="shared" si="1"/>
        <v>update valuation set market_land =77600, market_bldg=253300, market_total =330900, market_mdno =402, market_date ='9/10/2023' where link_id = (select link_id from parcel where parcel_year = '2024' and parcel_id = '21101534404');</v>
      </c>
    </row>
    <row r="94" spans="1:83" x14ac:dyDescent="0.25">
      <c r="A94">
        <v>21101543407</v>
      </c>
      <c r="B94">
        <v>1</v>
      </c>
      <c r="C94" t="s">
        <v>137</v>
      </c>
      <c r="D94" t="s">
        <v>137</v>
      </c>
      <c r="E94" t="s">
        <v>54</v>
      </c>
      <c r="F94" t="s">
        <v>54</v>
      </c>
      <c r="G94">
        <v>3</v>
      </c>
      <c r="H94" t="s">
        <v>55</v>
      </c>
      <c r="I94">
        <v>0</v>
      </c>
      <c r="J94">
        <v>35100</v>
      </c>
      <c r="K94">
        <v>1</v>
      </c>
      <c r="L94">
        <f>IF(Granger_Inventory[[#This Row],[parcel_acres]]-Granger_Inventory[[#This Row],[non_valued_acres]] =0,0,LN(Granger_Inventory[[#This Row],[parcel_acres]]-Granger_Inventory[[#This Row],[non_valued_acres]]))</f>
        <v>0</v>
      </c>
      <c r="M94">
        <v>0</v>
      </c>
      <c r="N94">
        <v>0</v>
      </c>
      <c r="O94">
        <v>0</v>
      </c>
      <c r="P94">
        <v>47108.068500000001</v>
      </c>
      <c r="Q94">
        <v>122298</v>
      </c>
      <c r="R94">
        <f>(Granger_Inventory[[#This Row],[ln_acres]]*Granger_Inventory[[#This Row],[coeff]])+Granger_Inventory[[#This Row],[const]]</f>
        <v>122298</v>
      </c>
      <c r="S94" t="s">
        <v>69</v>
      </c>
      <c r="T94">
        <v>1</v>
      </c>
      <c r="U94" t="s">
        <v>106</v>
      </c>
      <c r="V94" t="s">
        <v>82</v>
      </c>
      <c r="W94">
        <v>0</v>
      </c>
      <c r="X94">
        <v>0</v>
      </c>
      <c r="Y94">
        <v>57</v>
      </c>
      <c r="Z94">
        <v>103</v>
      </c>
      <c r="AA94">
        <v>110</v>
      </c>
      <c r="AB94">
        <v>1000</v>
      </c>
      <c r="AC94">
        <v>820</v>
      </c>
      <c r="AD94">
        <v>820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5</v>
      </c>
      <c r="AQ94">
        <v>1</v>
      </c>
      <c r="AR94">
        <v>0</v>
      </c>
      <c r="AS94" t="s">
        <v>146</v>
      </c>
      <c r="AT94">
        <v>0</v>
      </c>
      <c r="AU94" t="s">
        <v>83</v>
      </c>
      <c r="AV94" t="s">
        <v>144</v>
      </c>
      <c r="AW94">
        <v>0</v>
      </c>
      <c r="AX94">
        <v>2</v>
      </c>
      <c r="AY94">
        <v>0</v>
      </c>
      <c r="AZ94">
        <v>0</v>
      </c>
      <c r="BA94">
        <v>100</v>
      </c>
      <c r="BB94">
        <v>100</v>
      </c>
      <c r="BC94">
        <v>100</v>
      </c>
      <c r="BD94">
        <v>100</v>
      </c>
      <c r="BE94">
        <v>1</v>
      </c>
      <c r="BF94">
        <v>15000</v>
      </c>
      <c r="BG94">
        <v>1000</v>
      </c>
      <c r="BH94" s="8">
        <f>Granger_Inventory[[#This Row],[land_extract]]*Lookups!$B$3</f>
        <v>72856.685378399998</v>
      </c>
      <c r="BI94" s="8">
        <f>IF(Granger_Inventory[[#This Row],[bldg_style]]="",0,Lookups!$B$2)</f>
        <v>29703.559000000001</v>
      </c>
      <c r="BJ94" s="8">
        <f>_xlfn.IFNA(VLOOKUP(Granger_Inventory[[#This Row],[quality]],Lookups!$H$2:$J$14,3,FALSE),0)</f>
        <v>17985.540667792327</v>
      </c>
      <c r="BK94" s="8">
        <f>_xlfn.IFNA(VLOOKUP(Granger_Inventory[[#This Row],[condition]],Lookups!$H$17:$J$24,3,FALSE),0)</f>
        <v>27308</v>
      </c>
      <c r="BL94" s="8">
        <f>Granger_Inventory[[#This Row],[Age]]*Lookups!$B$16</f>
        <v>-21355.103299999999</v>
      </c>
      <c r="BM94" s="8">
        <f>Granger_Inventory[[#This Row],[living_area]]*Lookups!$B$17</f>
        <v>55163.785380000001</v>
      </c>
      <c r="BN94" s="8">
        <f>(Granger_Inventory[[#This Row],[att_gar]]+Granger_Inventory[[#This Row],[blt_gar]])*Lookups!$B$18</f>
        <v>0</v>
      </c>
      <c r="BO94" s="8">
        <f>Granger_Inventory[[#This Row],[Patio]]*Lookups!$B$19</f>
        <v>0</v>
      </c>
      <c r="BP94" s="8">
        <f>SUM(Granger_Inventory[[#This Row],[Intercept]:[Patio_Value]])*Granger_Inventory[[#This Row],[res_pct]]</f>
        <v>108805.78174779232</v>
      </c>
      <c r="BQ94" s="8">
        <f>Granger_Inventory[[#This Row],[land_value]]</f>
        <v>72856.685378399998</v>
      </c>
      <c r="BR94" s="4">
        <f>_xlfn.IFNA(VLOOKUP(Granger_Inventory[[#This Row],[quality]],Lookups!$A$25:$C$35,3,FALSE),1)</f>
        <v>0.77695375541795109</v>
      </c>
      <c r="BS94" s="4">
        <f>_xlfn.IFNA(VLOOKUP(Granger_Inventory[[#This Row],[condition]],Lookups!$A$38:$C$45,3,FALSE),1)</f>
        <v>0.59507759803100935</v>
      </c>
      <c r="BT94" s="4">
        <f>IF(Granger_Inventory[[#This Row],[decade]]="",1,_xlfn.IFNA(VLOOKUP(Granger_Inventory[[#This Row],[decade]],Lookups!$G$28:$I$42,3,FALSE),1))</f>
        <v>0.879441629375324</v>
      </c>
      <c r="BU94" s="4">
        <f>_xlfn.IFNA(VLOOKUP(Granger_Inventory[[#This Row],[living_area_range]],Lookups!$A$48:$C$57,3,FALSE),1)</f>
        <v>0.81272404900450645</v>
      </c>
      <c r="BV94" s="4">
        <f>AVERAGE(Granger_Inventory[[#This Row],[qual_adj]:[living_range_adj]])</f>
        <v>0.7660492579571978</v>
      </c>
      <c r="BW94" s="8">
        <f>(Granger_Inventory[[#This Row],[sum_land]]-IF(Granger_Inventory[[#This Row],[no_utilities]]=1,12000,0))/IF(Granger_Inventory[[#This Row],[unbuildable]]=1,2,1)</f>
        <v>72856.685378399998</v>
      </c>
      <c r="BX94" s="8">
        <f>Granger_Inventory[[#This Row],[pre_res]]*Granger_Inventory[[#This Row],[overall_adj]]</f>
        <v>83350.58836934912</v>
      </c>
      <c r="BY94">
        <f>IF(ROUND(Granger_Inventory[[#This Row],[adj_land]]*Lookups!$I$45,-2)&lt;Granger_Inventory[[#This Row],[min_land]],Granger_Inventory[[#This Row],[min_land]],ROUND(Granger_Inventory[[#This Row],[adj_land]]*Lookups!$I$45,-2))</f>
        <v>69200</v>
      </c>
      <c r="BZ94">
        <f>ROUND(Granger_Inventory[[#This Row],[detatched_value]]*Lookups!$I$45,-2)</f>
        <v>0</v>
      </c>
      <c r="CA94">
        <f>IF(ROUND(Granger_Inventory[[#This Row],[adj_res]]*Lookups!$I$45,-2)&lt;Granger_Inventory[[#This Row],[min_res]],Granger_Inventory[[#This Row],[min_res]],ROUND(Granger_Inventory[[#This Row],[adj_res]]*Lookups!$I$45,-2))</f>
        <v>79200</v>
      </c>
      <c r="CB94">
        <f>Granger_Inventory[[#This Row],[final_det]]+Granger_Inventory[[#This Row],[final_res]]</f>
        <v>79200</v>
      </c>
      <c r="CC94">
        <f>Granger_Inventory[[#This Row],[final_land]]+Granger_Inventory[[#This Row],[final_imp]]+Granger_Inventory[[#This Row],[crop_value]]</f>
        <v>148400</v>
      </c>
      <c r="CE94" t="str">
        <f t="shared" si="1"/>
        <v>update valuation set market_land =69200, market_bldg=79200, market_total =148400, market_mdno =402, market_date ='9/10/2023' where link_id = (select link_id from parcel where parcel_year = '2024' and parcel_id = '21101543407');</v>
      </c>
    </row>
    <row r="95" spans="1:83" x14ac:dyDescent="0.25">
      <c r="A95">
        <v>21101613403</v>
      </c>
      <c r="B95">
        <v>0.79</v>
      </c>
      <c r="C95" t="s">
        <v>137</v>
      </c>
      <c r="D95" t="s">
        <v>137</v>
      </c>
      <c r="E95" t="s">
        <v>54</v>
      </c>
      <c r="F95" t="s">
        <v>54</v>
      </c>
      <c r="G95">
        <v>3</v>
      </c>
      <c r="H95" t="s">
        <v>55</v>
      </c>
      <c r="I95">
        <v>323900</v>
      </c>
      <c r="J95">
        <v>33800</v>
      </c>
      <c r="K95">
        <v>0.79</v>
      </c>
      <c r="L95">
        <f>IF(Granger_Inventory[[#This Row],[parcel_acres]]-Granger_Inventory[[#This Row],[non_valued_acres]] =0,0,LN(Granger_Inventory[[#This Row],[parcel_acres]]-Granger_Inventory[[#This Row],[non_valued_acres]]))</f>
        <v>-0.23572233352106983</v>
      </c>
      <c r="M95">
        <v>0</v>
      </c>
      <c r="N95">
        <v>0</v>
      </c>
      <c r="O95">
        <v>0</v>
      </c>
      <c r="P95">
        <v>47108.068500000001</v>
      </c>
      <c r="Q95">
        <v>122298</v>
      </c>
      <c r="R95">
        <f>(Granger_Inventory[[#This Row],[ln_acres]]*Granger_Inventory[[#This Row],[coeff]])+Granger_Inventory[[#This Row],[const]]</f>
        <v>111193.5761655096</v>
      </c>
      <c r="S95" t="s">
        <v>62</v>
      </c>
      <c r="T95">
        <v>1</v>
      </c>
      <c r="U95" t="s">
        <v>61</v>
      </c>
      <c r="V95" t="s">
        <v>58</v>
      </c>
      <c r="W95">
        <v>0</v>
      </c>
      <c r="X95">
        <v>0</v>
      </c>
      <c r="Y95">
        <v>1</v>
      </c>
      <c r="Z95">
        <v>1</v>
      </c>
      <c r="AA95">
        <v>10</v>
      </c>
      <c r="AB95">
        <v>2000</v>
      </c>
      <c r="AC95">
        <v>1680</v>
      </c>
      <c r="AD95">
        <v>1680</v>
      </c>
      <c r="AE95">
        <v>0</v>
      </c>
      <c r="AF95">
        <v>0</v>
      </c>
      <c r="AG95">
        <v>0</v>
      </c>
      <c r="AH95">
        <v>0</v>
      </c>
      <c r="AI95">
        <v>624</v>
      </c>
      <c r="AJ95">
        <v>0</v>
      </c>
      <c r="AK95">
        <v>0</v>
      </c>
      <c r="AL95">
        <v>0</v>
      </c>
      <c r="AM95">
        <v>0</v>
      </c>
      <c r="AN95">
        <v>376</v>
      </c>
      <c r="AO95">
        <v>0</v>
      </c>
      <c r="AP95">
        <v>10</v>
      </c>
      <c r="AQ95">
        <v>0</v>
      </c>
      <c r="AR95">
        <v>0</v>
      </c>
      <c r="AS95" t="s">
        <v>59</v>
      </c>
      <c r="AT95">
        <v>1</v>
      </c>
      <c r="AU95" t="s">
        <v>63</v>
      </c>
      <c r="AV95" t="s">
        <v>61</v>
      </c>
      <c r="AW95">
        <v>1</v>
      </c>
      <c r="AX95">
        <v>3</v>
      </c>
      <c r="AY95">
        <v>0</v>
      </c>
      <c r="AZ95">
        <v>0</v>
      </c>
      <c r="BA95">
        <v>100</v>
      </c>
      <c r="BB95">
        <v>100</v>
      </c>
      <c r="BC95">
        <v>100</v>
      </c>
      <c r="BD95">
        <v>100</v>
      </c>
      <c r="BE95">
        <v>1</v>
      </c>
      <c r="BF95">
        <v>15000</v>
      </c>
      <c r="BG95">
        <v>1000</v>
      </c>
      <c r="BH95" s="8">
        <f>Granger_Inventory[[#This Row],[land_extract]]*Lookups!$B$3</f>
        <v>66241.438083939967</v>
      </c>
      <c r="BI95" s="8">
        <f>IF(Granger_Inventory[[#This Row],[bldg_style]]="",0,Lookups!$B$2)</f>
        <v>29703.559000000001</v>
      </c>
      <c r="BJ95" s="8">
        <f>_xlfn.IFNA(VLOOKUP(Granger_Inventory[[#This Row],[quality]],Lookups!$H$2:$J$14,3,FALSE),0)</f>
        <v>71767</v>
      </c>
      <c r="BK95" s="8">
        <f>_xlfn.IFNA(VLOOKUP(Granger_Inventory[[#This Row],[condition]],Lookups!$H$17:$J$24,3,FALSE),0)</f>
        <v>101774</v>
      </c>
      <c r="BL95" s="8">
        <f>Granger_Inventory[[#This Row],[Age]]*Lookups!$B$16</f>
        <v>-207.33109999999999</v>
      </c>
      <c r="BM95" s="8">
        <f>Granger_Inventory[[#This Row],[living_area]]*Lookups!$B$17</f>
        <v>113018.48711999999</v>
      </c>
      <c r="BN95" s="8">
        <f>(Granger_Inventory[[#This Row],[att_gar]]+Granger_Inventory[[#This Row],[blt_gar]])*Lookups!$B$18</f>
        <v>30231.293664000001</v>
      </c>
      <c r="BO95" s="8">
        <f>Granger_Inventory[[#This Row],[Patio]]*Lookups!$B$19</f>
        <v>0</v>
      </c>
      <c r="BP95" s="8">
        <f>SUM(Granger_Inventory[[#This Row],[Intercept]:[Patio_Value]])*Granger_Inventory[[#This Row],[res_pct]]</f>
        <v>346287.008684</v>
      </c>
      <c r="BQ95" s="8">
        <f>Granger_Inventory[[#This Row],[land_value]]</f>
        <v>66241.438083939967</v>
      </c>
      <c r="BR95" s="4">
        <f>_xlfn.IFNA(VLOOKUP(Granger_Inventory[[#This Row],[quality]],Lookups!$A$25:$C$35,3,FALSE),1)</f>
        <v>0.992092799099482</v>
      </c>
      <c r="BS95" s="4">
        <f>_xlfn.IFNA(VLOOKUP(Granger_Inventory[[#This Row],[condition]],Lookups!$A$38:$C$45,3,FALSE),1)</f>
        <v>0.99135053432734199</v>
      </c>
      <c r="BT95" s="4">
        <f>IF(Granger_Inventory[[#This Row],[decade]]="",1,_xlfn.IFNA(VLOOKUP(Granger_Inventory[[#This Row],[decade]],Lookups!$G$28:$I$42,3,FALSE),1))</f>
        <v>0.95532362136731586</v>
      </c>
      <c r="BU95" s="4">
        <f>_xlfn.IFNA(VLOOKUP(Granger_Inventory[[#This Row],[living_area_range]],Lookups!$A$48:$C$57,3,FALSE),1)</f>
        <v>0.97860968051050168</v>
      </c>
      <c r="BV95" s="4">
        <f>AVERAGE(Granger_Inventory[[#This Row],[qual_adj]:[living_range_adj]])</f>
        <v>0.97934415882616044</v>
      </c>
      <c r="BW95" s="8">
        <f>(Granger_Inventory[[#This Row],[sum_land]]-IF(Granger_Inventory[[#This Row],[no_utilities]]=1,12000,0))/IF(Granger_Inventory[[#This Row],[unbuildable]]=1,2,1)</f>
        <v>66241.438083939967</v>
      </c>
      <c r="BX95" s="8">
        <f>Granger_Inventory[[#This Row],[pre_res]]*Granger_Inventory[[#This Row],[overall_adj]]</f>
        <v>339134.15923205932</v>
      </c>
      <c r="BY95">
        <f>IF(ROUND(Granger_Inventory[[#This Row],[adj_land]]*Lookups!$I$45,-2)&lt;Granger_Inventory[[#This Row],[min_land]],Granger_Inventory[[#This Row],[min_land]],ROUND(Granger_Inventory[[#This Row],[adj_land]]*Lookups!$I$45,-2))</f>
        <v>62900</v>
      </c>
      <c r="BZ95">
        <f>ROUND(Granger_Inventory[[#This Row],[detatched_value]]*Lookups!$I$45,-2)</f>
        <v>0</v>
      </c>
      <c r="CA95">
        <f>IF(ROUND(Granger_Inventory[[#This Row],[adj_res]]*Lookups!$I$45,-2)&lt;Granger_Inventory[[#This Row],[min_res]],Granger_Inventory[[#This Row],[min_res]],ROUND(Granger_Inventory[[#This Row],[adj_res]]*Lookups!$I$45,-2))</f>
        <v>322200</v>
      </c>
      <c r="CB95">
        <f>Granger_Inventory[[#This Row],[final_det]]+Granger_Inventory[[#This Row],[final_res]]</f>
        <v>322200</v>
      </c>
      <c r="CC95">
        <f>Granger_Inventory[[#This Row],[final_land]]+Granger_Inventory[[#This Row],[final_imp]]+Granger_Inventory[[#This Row],[crop_value]]</f>
        <v>385100</v>
      </c>
      <c r="CE95" t="str">
        <f t="shared" si="1"/>
        <v>update valuation set market_land =62900, market_bldg=322200, market_total =385100, market_mdno =402, market_date ='9/10/2023' where link_id = (select link_id from parcel where parcel_year = '2024' and parcel_id = '21101613403');</v>
      </c>
    </row>
    <row r="96" spans="1:83" x14ac:dyDescent="0.25">
      <c r="A96">
        <v>21101613404</v>
      </c>
      <c r="B96">
        <v>0.56999999999999995</v>
      </c>
      <c r="C96" t="s">
        <v>137</v>
      </c>
      <c r="D96" t="s">
        <v>137</v>
      </c>
      <c r="E96" t="s">
        <v>54</v>
      </c>
      <c r="F96" t="s">
        <v>54</v>
      </c>
      <c r="G96">
        <v>3</v>
      </c>
      <c r="H96" t="s">
        <v>55</v>
      </c>
      <c r="I96">
        <v>285500</v>
      </c>
      <c r="J96">
        <v>32000</v>
      </c>
      <c r="K96">
        <v>0.56999999999999995</v>
      </c>
      <c r="L96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96">
        <v>0</v>
      </c>
      <c r="N96">
        <v>0</v>
      </c>
      <c r="O96">
        <v>0</v>
      </c>
      <c r="P96">
        <v>47108.068500000001</v>
      </c>
      <c r="Q96">
        <v>122298</v>
      </c>
      <c r="R96">
        <f>(Granger_Inventory[[#This Row],[ln_acres]]*Granger_Inventory[[#This Row],[coeff]])+Granger_Inventory[[#This Row],[const]]</f>
        <v>95817.663498477079</v>
      </c>
      <c r="S96" t="s">
        <v>56</v>
      </c>
      <c r="T96">
        <v>1</v>
      </c>
      <c r="U96" t="s">
        <v>57</v>
      </c>
      <c r="V96" t="s">
        <v>58</v>
      </c>
      <c r="W96">
        <v>0</v>
      </c>
      <c r="X96">
        <v>0</v>
      </c>
      <c r="Y96">
        <v>3</v>
      </c>
      <c r="Z96">
        <v>3</v>
      </c>
      <c r="AA96">
        <v>10</v>
      </c>
      <c r="AB96">
        <v>2000</v>
      </c>
      <c r="AC96">
        <v>1644</v>
      </c>
      <c r="AD96">
        <v>1644</v>
      </c>
      <c r="AE96">
        <v>0</v>
      </c>
      <c r="AF96">
        <v>0</v>
      </c>
      <c r="AG96">
        <v>0</v>
      </c>
      <c r="AH96">
        <v>0</v>
      </c>
      <c r="AI96">
        <v>576</v>
      </c>
      <c r="AJ96">
        <v>0</v>
      </c>
      <c r="AK96">
        <v>0</v>
      </c>
      <c r="AL96">
        <v>0</v>
      </c>
      <c r="AM96">
        <v>0</v>
      </c>
      <c r="AN96">
        <v>336</v>
      </c>
      <c r="AO96">
        <v>0</v>
      </c>
      <c r="AP96">
        <v>9</v>
      </c>
      <c r="AQ96">
        <v>0</v>
      </c>
      <c r="AR96">
        <v>0</v>
      </c>
      <c r="AS96" t="s">
        <v>59</v>
      </c>
      <c r="AT96">
        <v>1</v>
      </c>
      <c r="AU96" t="s">
        <v>63</v>
      </c>
      <c r="AV96" t="s">
        <v>65</v>
      </c>
      <c r="AW96">
        <v>1</v>
      </c>
      <c r="AX96">
        <v>3</v>
      </c>
      <c r="AY96">
        <v>0</v>
      </c>
      <c r="AZ96">
        <v>0</v>
      </c>
      <c r="BA96">
        <v>100</v>
      </c>
      <c r="BB96">
        <v>100</v>
      </c>
      <c r="BC96">
        <v>100</v>
      </c>
      <c r="BD96">
        <v>100</v>
      </c>
      <c r="BE96">
        <v>1</v>
      </c>
      <c r="BF96">
        <v>15000</v>
      </c>
      <c r="BG96">
        <v>1000</v>
      </c>
      <c r="BH96" s="8">
        <f>Granger_Inventory[[#This Row],[land_extract]]*Lookups!$B$3</f>
        <v>57081.53333007855</v>
      </c>
      <c r="BI96" s="8">
        <f>IF(Granger_Inventory[[#This Row],[bldg_style]]="",0,Lookups!$B$2)</f>
        <v>29703.559000000001</v>
      </c>
      <c r="BJ96" s="8">
        <f>_xlfn.IFNA(VLOOKUP(Granger_Inventory[[#This Row],[quality]],Lookups!$H$2:$J$14,3,FALSE),0)</f>
        <v>56414</v>
      </c>
      <c r="BK96" s="8">
        <f>_xlfn.IFNA(VLOOKUP(Granger_Inventory[[#This Row],[condition]],Lookups!$H$17:$J$24,3,FALSE),0)</f>
        <v>101774</v>
      </c>
      <c r="BL96" s="8">
        <f>Granger_Inventory[[#This Row],[Age]]*Lookups!$B$16</f>
        <v>-621.99329999999998</v>
      </c>
      <c r="BM96" s="8">
        <f>Granger_Inventory[[#This Row],[living_area]]*Lookups!$B$17</f>
        <v>110596.662396</v>
      </c>
      <c r="BN96" s="8">
        <f>(Granger_Inventory[[#This Row],[att_gar]]+Granger_Inventory[[#This Row],[blt_gar]])*Lookups!$B$18</f>
        <v>27905.809536000001</v>
      </c>
      <c r="BO96" s="8">
        <f>Granger_Inventory[[#This Row],[Patio]]*Lookups!$B$19</f>
        <v>0</v>
      </c>
      <c r="BP96" s="8">
        <f>SUM(Granger_Inventory[[#This Row],[Intercept]:[Patio_Value]])*Granger_Inventory[[#This Row],[res_pct]]</f>
        <v>325772.03763200005</v>
      </c>
      <c r="BQ96" s="8">
        <f>Granger_Inventory[[#This Row],[land_value]]</f>
        <v>57081.53333007855</v>
      </c>
      <c r="BR96" s="4">
        <f>_xlfn.IFNA(VLOOKUP(Granger_Inventory[[#This Row],[quality]],Lookups!$A$25:$C$35,3,FALSE),1)</f>
        <v>0.98791809110152173</v>
      </c>
      <c r="BS96" s="4">
        <f>_xlfn.IFNA(VLOOKUP(Granger_Inventory[[#This Row],[condition]],Lookups!$A$38:$C$45,3,FALSE),1)</f>
        <v>0.99135053432734199</v>
      </c>
      <c r="BT96" s="4">
        <f>IF(Granger_Inventory[[#This Row],[decade]]="",1,_xlfn.IFNA(VLOOKUP(Granger_Inventory[[#This Row],[decade]],Lookups!$G$28:$I$42,3,FALSE),1))</f>
        <v>0.95532362136731586</v>
      </c>
      <c r="BU96" s="4">
        <f>_xlfn.IFNA(VLOOKUP(Granger_Inventory[[#This Row],[living_area_range]],Lookups!$A$48:$C$57,3,FALSE),1)</f>
        <v>0.97860968051050168</v>
      </c>
      <c r="BV96" s="4">
        <f>AVERAGE(Granger_Inventory[[#This Row],[qual_adj]:[living_range_adj]])</f>
        <v>0.97830048182667029</v>
      </c>
      <c r="BW96" s="8">
        <f>(Granger_Inventory[[#This Row],[sum_land]]-IF(Granger_Inventory[[#This Row],[no_utilities]]=1,12000,0))/IF(Granger_Inventory[[#This Row],[unbuildable]]=1,2,1)</f>
        <v>57081.53333007855</v>
      </c>
      <c r="BX96" s="8">
        <f>Granger_Inventory[[#This Row],[pre_res]]*Granger_Inventory[[#This Row],[overall_adj]]</f>
        <v>318702.94138104183</v>
      </c>
      <c r="BY96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96">
        <f>ROUND(Granger_Inventory[[#This Row],[detatched_value]]*Lookups!$I$45,-2)</f>
        <v>0</v>
      </c>
      <c r="CA96">
        <f>IF(ROUND(Granger_Inventory[[#This Row],[adj_res]]*Lookups!$I$45,-2)&lt;Granger_Inventory[[#This Row],[min_res]],Granger_Inventory[[#This Row],[min_res]],ROUND(Granger_Inventory[[#This Row],[adj_res]]*Lookups!$I$45,-2))</f>
        <v>302800</v>
      </c>
      <c r="CB96">
        <f>Granger_Inventory[[#This Row],[final_det]]+Granger_Inventory[[#This Row],[final_res]]</f>
        <v>302800</v>
      </c>
      <c r="CC96">
        <f>Granger_Inventory[[#This Row],[final_land]]+Granger_Inventory[[#This Row],[final_imp]]+Granger_Inventory[[#This Row],[crop_value]]</f>
        <v>357000</v>
      </c>
      <c r="CE96" t="str">
        <f t="shared" si="1"/>
        <v>update valuation set market_land =54200, market_bldg=302800, market_total =357000, market_mdno =402, market_date ='9/10/2023' where link_id = (select link_id from parcel where parcel_year = '2024' and parcel_id = '21101613404');</v>
      </c>
    </row>
    <row r="97" spans="1:83" x14ac:dyDescent="0.25">
      <c r="A97">
        <v>21101613405</v>
      </c>
      <c r="B97">
        <v>0.56999999999999995</v>
      </c>
      <c r="C97" t="s">
        <v>137</v>
      </c>
      <c r="D97" t="s">
        <v>137</v>
      </c>
      <c r="E97" t="s">
        <v>54</v>
      </c>
      <c r="F97" t="s">
        <v>54</v>
      </c>
      <c r="G97">
        <v>3</v>
      </c>
      <c r="H97" t="s">
        <v>55</v>
      </c>
      <c r="I97">
        <v>296000</v>
      </c>
      <c r="J97">
        <v>32000</v>
      </c>
      <c r="K97">
        <v>0.56999999999999995</v>
      </c>
      <c r="L97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97">
        <v>0</v>
      </c>
      <c r="N97">
        <v>0</v>
      </c>
      <c r="O97">
        <v>0</v>
      </c>
      <c r="P97">
        <v>47108.068500000001</v>
      </c>
      <c r="Q97">
        <v>122298</v>
      </c>
      <c r="R97">
        <f>(Granger_Inventory[[#This Row],[ln_acres]]*Granger_Inventory[[#This Row],[coeff]])+Granger_Inventory[[#This Row],[const]]</f>
        <v>95817.663498477079</v>
      </c>
      <c r="S97" t="s">
        <v>59</v>
      </c>
      <c r="T97">
        <v>1</v>
      </c>
      <c r="U97" t="s">
        <v>64</v>
      </c>
      <c r="V97" t="s">
        <v>58</v>
      </c>
      <c r="W97">
        <v>0</v>
      </c>
      <c r="X97">
        <v>0</v>
      </c>
      <c r="Y97">
        <v>3</v>
      </c>
      <c r="Z97">
        <v>3</v>
      </c>
      <c r="AA97">
        <v>10</v>
      </c>
      <c r="AB97">
        <v>2000</v>
      </c>
      <c r="AC97">
        <v>1728</v>
      </c>
      <c r="AD97">
        <v>1728</v>
      </c>
      <c r="AE97">
        <v>0</v>
      </c>
      <c r="AF97">
        <v>0</v>
      </c>
      <c r="AG97">
        <v>0</v>
      </c>
      <c r="AH97">
        <v>0</v>
      </c>
      <c r="AI97">
        <v>624</v>
      </c>
      <c r="AJ97">
        <v>0</v>
      </c>
      <c r="AK97">
        <v>0</v>
      </c>
      <c r="AL97">
        <v>0</v>
      </c>
      <c r="AM97">
        <v>0</v>
      </c>
      <c r="AN97">
        <v>400</v>
      </c>
      <c r="AO97">
        <v>0</v>
      </c>
      <c r="AP97">
        <v>9</v>
      </c>
      <c r="AQ97">
        <v>0</v>
      </c>
      <c r="AR97">
        <v>0</v>
      </c>
      <c r="AS97" t="s">
        <v>59</v>
      </c>
      <c r="AT97">
        <v>1</v>
      </c>
      <c r="AU97" t="s">
        <v>63</v>
      </c>
      <c r="AV97" t="s">
        <v>65</v>
      </c>
      <c r="AW97">
        <v>1</v>
      </c>
      <c r="AX97">
        <v>3</v>
      </c>
      <c r="AY97">
        <v>0</v>
      </c>
      <c r="AZ97">
        <v>0</v>
      </c>
      <c r="BA97">
        <v>100</v>
      </c>
      <c r="BB97">
        <v>100</v>
      </c>
      <c r="BC97">
        <v>100</v>
      </c>
      <c r="BD97">
        <v>100</v>
      </c>
      <c r="BE97">
        <v>1</v>
      </c>
      <c r="BF97">
        <v>15000</v>
      </c>
      <c r="BG97">
        <v>1000</v>
      </c>
      <c r="BH97" s="8">
        <f>Granger_Inventory[[#This Row],[land_extract]]*Lookups!$B$3</f>
        <v>57081.53333007855</v>
      </c>
      <c r="BI97" s="8">
        <f>IF(Granger_Inventory[[#This Row],[bldg_style]]="",0,Lookups!$B$2)</f>
        <v>29703.559000000001</v>
      </c>
      <c r="BJ97" s="8">
        <f>_xlfn.IFNA(VLOOKUP(Granger_Inventory[[#This Row],[quality]],Lookups!$H$2:$J$14,3,FALSE),0)</f>
        <v>36568</v>
      </c>
      <c r="BK97" s="8">
        <f>_xlfn.IFNA(VLOOKUP(Granger_Inventory[[#This Row],[condition]],Lookups!$H$17:$J$24,3,FALSE),0)</f>
        <v>101774</v>
      </c>
      <c r="BL97" s="8">
        <f>Granger_Inventory[[#This Row],[Age]]*Lookups!$B$16</f>
        <v>-621.99329999999998</v>
      </c>
      <c r="BM97" s="8">
        <f>Granger_Inventory[[#This Row],[living_area]]*Lookups!$B$17</f>
        <v>116247.586752</v>
      </c>
      <c r="BN97" s="8">
        <f>(Granger_Inventory[[#This Row],[att_gar]]+Granger_Inventory[[#This Row],[blt_gar]])*Lookups!$B$18</f>
        <v>30231.293664000001</v>
      </c>
      <c r="BO97" s="8">
        <f>Granger_Inventory[[#This Row],[Patio]]*Lookups!$B$19</f>
        <v>0</v>
      </c>
      <c r="BP97" s="8">
        <f>SUM(Granger_Inventory[[#This Row],[Intercept]:[Patio_Value]])*Granger_Inventory[[#This Row],[res_pct]]</f>
        <v>313902.44611600001</v>
      </c>
      <c r="BQ97" s="8">
        <f>Granger_Inventory[[#This Row],[land_value]]</f>
        <v>57081.53333007855</v>
      </c>
      <c r="BR97" s="4">
        <f>_xlfn.IFNA(VLOOKUP(Granger_Inventory[[#This Row],[quality]],Lookups!$A$25:$C$35,3,FALSE),1)</f>
        <v>0.99049976351917957</v>
      </c>
      <c r="BS97" s="4">
        <f>_xlfn.IFNA(VLOOKUP(Granger_Inventory[[#This Row],[condition]],Lookups!$A$38:$C$45,3,FALSE),1)</f>
        <v>0.99135053432734199</v>
      </c>
      <c r="BT97" s="4">
        <f>IF(Granger_Inventory[[#This Row],[decade]]="",1,_xlfn.IFNA(VLOOKUP(Granger_Inventory[[#This Row],[decade]],Lookups!$G$28:$I$42,3,FALSE),1))</f>
        <v>0.95532362136731586</v>
      </c>
      <c r="BU97" s="4">
        <f>_xlfn.IFNA(VLOOKUP(Granger_Inventory[[#This Row],[living_area_range]],Lookups!$A$48:$C$57,3,FALSE),1)</f>
        <v>0.97860968051050168</v>
      </c>
      <c r="BV97" s="4">
        <f>AVERAGE(Granger_Inventory[[#This Row],[qual_adj]:[living_range_adj]])</f>
        <v>0.97894589993108483</v>
      </c>
      <c r="BW97" s="8">
        <f>(Granger_Inventory[[#This Row],[sum_land]]-IF(Granger_Inventory[[#This Row],[no_utilities]]=1,12000,0))/IF(Granger_Inventory[[#This Row],[unbuildable]]=1,2,1)</f>
        <v>57081.53333007855</v>
      </c>
      <c r="BX97" s="8">
        <f>Granger_Inventory[[#This Row],[pre_res]]*Granger_Inventory[[#This Row],[overall_adj]]</f>
        <v>307293.51260359649</v>
      </c>
      <c r="BY97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97">
        <f>ROUND(Granger_Inventory[[#This Row],[detatched_value]]*Lookups!$I$45,-2)</f>
        <v>0</v>
      </c>
      <c r="CA97">
        <f>IF(ROUND(Granger_Inventory[[#This Row],[adj_res]]*Lookups!$I$45,-2)&lt;Granger_Inventory[[#This Row],[min_res]],Granger_Inventory[[#This Row],[min_res]],ROUND(Granger_Inventory[[#This Row],[adj_res]]*Lookups!$I$45,-2))</f>
        <v>291900</v>
      </c>
      <c r="CB97">
        <f>Granger_Inventory[[#This Row],[final_det]]+Granger_Inventory[[#This Row],[final_res]]</f>
        <v>291900</v>
      </c>
      <c r="CC97">
        <f>Granger_Inventory[[#This Row],[final_land]]+Granger_Inventory[[#This Row],[final_imp]]+Granger_Inventory[[#This Row],[crop_value]]</f>
        <v>346100</v>
      </c>
      <c r="CE97" t="str">
        <f t="shared" si="1"/>
        <v>update valuation set market_land =54200, market_bldg=291900, market_total =346100, market_mdno =402, market_date ='9/10/2023' where link_id = (select link_id from parcel where parcel_year = '2024' and parcel_id = '21101613405');</v>
      </c>
    </row>
    <row r="98" spans="1:83" x14ac:dyDescent="0.25">
      <c r="A98">
        <v>21101613406</v>
      </c>
      <c r="B98">
        <v>0.56999999999999995</v>
      </c>
      <c r="C98" t="s">
        <v>137</v>
      </c>
      <c r="D98" t="s">
        <v>137</v>
      </c>
      <c r="E98" t="s">
        <v>54</v>
      </c>
      <c r="F98" t="s">
        <v>54</v>
      </c>
      <c r="G98">
        <v>3</v>
      </c>
      <c r="H98" t="s">
        <v>55</v>
      </c>
      <c r="I98">
        <v>319800</v>
      </c>
      <c r="J98">
        <v>32000</v>
      </c>
      <c r="K98">
        <v>0.56999999999999995</v>
      </c>
      <c r="L98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98">
        <v>0</v>
      </c>
      <c r="N98">
        <v>0</v>
      </c>
      <c r="O98">
        <v>0</v>
      </c>
      <c r="P98">
        <v>47108.068500000001</v>
      </c>
      <c r="Q98">
        <v>122298</v>
      </c>
      <c r="R98">
        <f>(Granger_Inventory[[#This Row],[ln_acres]]*Granger_Inventory[[#This Row],[coeff]])+Granger_Inventory[[#This Row],[const]]</f>
        <v>95817.663498477079</v>
      </c>
      <c r="S98" t="s">
        <v>62</v>
      </c>
      <c r="T98">
        <v>1</v>
      </c>
      <c r="U98" t="s">
        <v>61</v>
      </c>
      <c r="V98" t="s">
        <v>58</v>
      </c>
      <c r="W98">
        <v>0</v>
      </c>
      <c r="X98">
        <v>0</v>
      </c>
      <c r="Y98">
        <v>3</v>
      </c>
      <c r="Z98">
        <v>3</v>
      </c>
      <c r="AA98">
        <v>10</v>
      </c>
      <c r="AB98">
        <v>2000</v>
      </c>
      <c r="AC98">
        <v>1620</v>
      </c>
      <c r="AD98">
        <v>1620</v>
      </c>
      <c r="AE98">
        <v>0</v>
      </c>
      <c r="AF98">
        <v>0</v>
      </c>
      <c r="AG98">
        <v>0</v>
      </c>
      <c r="AH98">
        <v>0</v>
      </c>
      <c r="AI98">
        <v>700</v>
      </c>
      <c r="AJ98">
        <v>0</v>
      </c>
      <c r="AK98">
        <v>0</v>
      </c>
      <c r="AL98">
        <v>160</v>
      </c>
      <c r="AM98">
        <v>0</v>
      </c>
      <c r="AN98">
        <v>280</v>
      </c>
      <c r="AO98">
        <v>160</v>
      </c>
      <c r="AP98">
        <v>8</v>
      </c>
      <c r="AQ98">
        <v>0</v>
      </c>
      <c r="AR98">
        <v>0</v>
      </c>
      <c r="AS98" t="s">
        <v>59</v>
      </c>
      <c r="AT98">
        <v>1</v>
      </c>
      <c r="AU98" t="s">
        <v>63</v>
      </c>
      <c r="AV98" t="s">
        <v>65</v>
      </c>
      <c r="AW98">
        <v>1</v>
      </c>
      <c r="AX98">
        <v>3</v>
      </c>
      <c r="AY98">
        <v>0</v>
      </c>
      <c r="AZ98">
        <v>0</v>
      </c>
      <c r="BA98">
        <v>100</v>
      </c>
      <c r="BB98">
        <v>100</v>
      </c>
      <c r="BC98">
        <v>100</v>
      </c>
      <c r="BD98">
        <v>100</v>
      </c>
      <c r="BE98">
        <v>1</v>
      </c>
      <c r="BF98">
        <v>15000</v>
      </c>
      <c r="BG98">
        <v>1000</v>
      </c>
      <c r="BH98" s="8">
        <f>Granger_Inventory[[#This Row],[land_extract]]*Lookups!$B$3</f>
        <v>57081.53333007855</v>
      </c>
      <c r="BI98" s="8">
        <f>IF(Granger_Inventory[[#This Row],[bldg_style]]="",0,Lookups!$B$2)</f>
        <v>29703.559000000001</v>
      </c>
      <c r="BJ98" s="8">
        <f>_xlfn.IFNA(VLOOKUP(Granger_Inventory[[#This Row],[quality]],Lookups!$H$2:$J$14,3,FALSE),0)</f>
        <v>71767</v>
      </c>
      <c r="BK98" s="8">
        <f>_xlfn.IFNA(VLOOKUP(Granger_Inventory[[#This Row],[condition]],Lookups!$H$17:$J$24,3,FALSE),0)</f>
        <v>101774</v>
      </c>
      <c r="BL98" s="8">
        <f>Granger_Inventory[[#This Row],[Age]]*Lookups!$B$16</f>
        <v>-621.99329999999998</v>
      </c>
      <c r="BM98" s="8">
        <f>Granger_Inventory[[#This Row],[living_area]]*Lookups!$B$17</f>
        <v>108982.11258</v>
      </c>
      <c r="BN98" s="8">
        <f>(Granger_Inventory[[#This Row],[att_gar]]+Granger_Inventory[[#This Row],[blt_gar]])*Lookups!$B$18</f>
        <v>33913.3102</v>
      </c>
      <c r="BO98" s="8">
        <f>Granger_Inventory[[#This Row],[Patio]]*Lookups!$B$19</f>
        <v>0</v>
      </c>
      <c r="BP98" s="8">
        <f>SUM(Granger_Inventory[[#This Row],[Intercept]:[Patio_Value]])*Granger_Inventory[[#This Row],[res_pct]]</f>
        <v>345517.98848</v>
      </c>
      <c r="BQ98" s="8">
        <f>Granger_Inventory[[#This Row],[land_value]]</f>
        <v>57081.53333007855</v>
      </c>
      <c r="BR98" s="4">
        <f>_xlfn.IFNA(VLOOKUP(Granger_Inventory[[#This Row],[quality]],Lookups!$A$25:$C$35,3,FALSE),1)</f>
        <v>0.992092799099482</v>
      </c>
      <c r="BS98" s="4">
        <f>_xlfn.IFNA(VLOOKUP(Granger_Inventory[[#This Row],[condition]],Lookups!$A$38:$C$45,3,FALSE),1)</f>
        <v>0.99135053432734199</v>
      </c>
      <c r="BT98" s="4">
        <f>IF(Granger_Inventory[[#This Row],[decade]]="",1,_xlfn.IFNA(VLOOKUP(Granger_Inventory[[#This Row],[decade]],Lookups!$G$28:$I$42,3,FALSE),1))</f>
        <v>0.95532362136731586</v>
      </c>
      <c r="BU98" s="4">
        <f>_xlfn.IFNA(VLOOKUP(Granger_Inventory[[#This Row],[living_area_range]],Lookups!$A$48:$C$57,3,FALSE),1)</f>
        <v>0.97860968051050168</v>
      </c>
      <c r="BV98" s="4">
        <f>AVERAGE(Granger_Inventory[[#This Row],[qual_adj]:[living_range_adj]])</f>
        <v>0.97934415882616044</v>
      </c>
      <c r="BW98" s="8">
        <f>(Granger_Inventory[[#This Row],[sum_land]]-IF(Granger_Inventory[[#This Row],[no_utilities]]=1,12000,0))/IF(Granger_Inventory[[#This Row],[unbuildable]]=1,2,1)</f>
        <v>57081.53333007855</v>
      </c>
      <c r="BX98" s="8">
        <f>Granger_Inventory[[#This Row],[pre_res]]*Granger_Inventory[[#This Row],[overall_adj]]</f>
        <v>338381.0237872526</v>
      </c>
      <c r="BY98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98">
        <f>ROUND(Granger_Inventory[[#This Row],[detatched_value]]*Lookups!$I$45,-2)</f>
        <v>0</v>
      </c>
      <c r="CA98">
        <f>IF(ROUND(Granger_Inventory[[#This Row],[adj_res]]*Lookups!$I$45,-2)&lt;Granger_Inventory[[#This Row],[min_res]],Granger_Inventory[[#This Row],[min_res]],ROUND(Granger_Inventory[[#This Row],[adj_res]]*Lookups!$I$45,-2))</f>
        <v>321500</v>
      </c>
      <c r="CB98">
        <f>Granger_Inventory[[#This Row],[final_det]]+Granger_Inventory[[#This Row],[final_res]]</f>
        <v>321500</v>
      </c>
      <c r="CC98">
        <f>Granger_Inventory[[#This Row],[final_land]]+Granger_Inventory[[#This Row],[final_imp]]+Granger_Inventory[[#This Row],[crop_value]]</f>
        <v>375700</v>
      </c>
      <c r="CE98" t="str">
        <f t="shared" si="1"/>
        <v>update valuation set market_land =54200, market_bldg=321500, market_total =375700, market_mdno =402, market_date ='9/10/2023' where link_id = (select link_id from parcel where parcel_year = '2024' and parcel_id = '21101613406');</v>
      </c>
    </row>
    <row r="99" spans="1:83" x14ac:dyDescent="0.25">
      <c r="A99">
        <v>21101613407</v>
      </c>
      <c r="B99">
        <v>0.56999999999999995</v>
      </c>
      <c r="C99" t="s">
        <v>137</v>
      </c>
      <c r="D99" t="s">
        <v>137</v>
      </c>
      <c r="E99" t="s">
        <v>54</v>
      </c>
      <c r="F99" t="s">
        <v>54</v>
      </c>
      <c r="G99">
        <v>3</v>
      </c>
      <c r="H99" t="s">
        <v>55</v>
      </c>
      <c r="I99">
        <v>296800</v>
      </c>
      <c r="J99">
        <v>32000</v>
      </c>
      <c r="K99">
        <v>0.56999999999999995</v>
      </c>
      <c r="L99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99">
        <v>0</v>
      </c>
      <c r="N99">
        <v>0</v>
      </c>
      <c r="O99">
        <v>0</v>
      </c>
      <c r="P99">
        <v>47108.068500000001</v>
      </c>
      <c r="Q99">
        <v>122298</v>
      </c>
      <c r="R99">
        <f>(Granger_Inventory[[#This Row],[ln_acres]]*Granger_Inventory[[#This Row],[coeff]])+Granger_Inventory[[#This Row],[const]]</f>
        <v>95817.663498477079</v>
      </c>
      <c r="S99" t="s">
        <v>59</v>
      </c>
      <c r="T99">
        <v>1</v>
      </c>
      <c r="U99" t="s">
        <v>64</v>
      </c>
      <c r="V99" t="s">
        <v>58</v>
      </c>
      <c r="W99">
        <v>0</v>
      </c>
      <c r="X99">
        <v>0</v>
      </c>
      <c r="Y99">
        <v>3</v>
      </c>
      <c r="Z99">
        <v>3</v>
      </c>
      <c r="AA99">
        <v>10</v>
      </c>
      <c r="AB99">
        <v>2000</v>
      </c>
      <c r="AC99">
        <v>1822</v>
      </c>
      <c r="AD99">
        <v>1822</v>
      </c>
      <c r="AE99">
        <v>0</v>
      </c>
      <c r="AF99">
        <v>0</v>
      </c>
      <c r="AG99">
        <v>0</v>
      </c>
      <c r="AH99">
        <v>0</v>
      </c>
      <c r="AI99">
        <v>540</v>
      </c>
      <c r="AJ99">
        <v>0</v>
      </c>
      <c r="AK99">
        <v>0</v>
      </c>
      <c r="AL99">
        <v>0</v>
      </c>
      <c r="AM99">
        <v>0</v>
      </c>
      <c r="AN99">
        <v>320</v>
      </c>
      <c r="AO99">
        <v>0</v>
      </c>
      <c r="AP99">
        <v>9</v>
      </c>
      <c r="AQ99">
        <v>0</v>
      </c>
      <c r="AR99">
        <v>0</v>
      </c>
      <c r="AS99" t="s">
        <v>59</v>
      </c>
      <c r="AT99">
        <v>1</v>
      </c>
      <c r="AU99" t="s">
        <v>63</v>
      </c>
      <c r="AV99" t="s">
        <v>65</v>
      </c>
      <c r="AW99">
        <v>1</v>
      </c>
      <c r="AX99">
        <v>3</v>
      </c>
      <c r="AY99">
        <v>0</v>
      </c>
      <c r="AZ99">
        <v>0</v>
      </c>
      <c r="BA99">
        <v>100</v>
      </c>
      <c r="BB99">
        <v>100</v>
      </c>
      <c r="BC99">
        <v>100</v>
      </c>
      <c r="BD99">
        <v>100</v>
      </c>
      <c r="BE99">
        <v>1</v>
      </c>
      <c r="BF99">
        <v>15000</v>
      </c>
      <c r="BG99">
        <v>1000</v>
      </c>
      <c r="BH99" s="8">
        <f>Granger_Inventory[[#This Row],[land_extract]]*Lookups!$B$3</f>
        <v>57081.53333007855</v>
      </c>
      <c r="BI99" s="8">
        <f>IF(Granger_Inventory[[#This Row],[bldg_style]]="",0,Lookups!$B$2)</f>
        <v>29703.559000000001</v>
      </c>
      <c r="BJ99" s="8">
        <f>_xlfn.IFNA(VLOOKUP(Granger_Inventory[[#This Row],[quality]],Lookups!$H$2:$J$14,3,FALSE),0)</f>
        <v>36568</v>
      </c>
      <c r="BK99" s="8">
        <f>_xlfn.IFNA(VLOOKUP(Granger_Inventory[[#This Row],[condition]],Lookups!$H$17:$J$24,3,FALSE),0)</f>
        <v>101774</v>
      </c>
      <c r="BL99" s="8">
        <f>Granger_Inventory[[#This Row],[Age]]*Lookups!$B$16</f>
        <v>-621.99329999999998</v>
      </c>
      <c r="BM99" s="8">
        <f>Granger_Inventory[[#This Row],[living_area]]*Lookups!$B$17</f>
        <v>122571.240198</v>
      </c>
      <c r="BN99" s="8">
        <f>(Granger_Inventory[[#This Row],[att_gar]]+Granger_Inventory[[#This Row],[blt_gar]])*Lookups!$B$18</f>
        <v>26161.69644</v>
      </c>
      <c r="BO99" s="8">
        <f>Granger_Inventory[[#This Row],[Patio]]*Lookups!$B$19</f>
        <v>0</v>
      </c>
      <c r="BP99" s="8">
        <f>SUM(Granger_Inventory[[#This Row],[Intercept]:[Patio_Value]])*Granger_Inventory[[#This Row],[res_pct]]</f>
        <v>316156.50233799999</v>
      </c>
      <c r="BQ99" s="8">
        <f>Granger_Inventory[[#This Row],[land_value]]</f>
        <v>57081.53333007855</v>
      </c>
      <c r="BR99" s="4">
        <f>_xlfn.IFNA(VLOOKUP(Granger_Inventory[[#This Row],[quality]],Lookups!$A$25:$C$35,3,FALSE),1)</f>
        <v>0.99049976351917957</v>
      </c>
      <c r="BS99" s="4">
        <f>_xlfn.IFNA(VLOOKUP(Granger_Inventory[[#This Row],[condition]],Lookups!$A$38:$C$45,3,FALSE),1)</f>
        <v>0.99135053432734199</v>
      </c>
      <c r="BT99" s="4">
        <f>IF(Granger_Inventory[[#This Row],[decade]]="",1,_xlfn.IFNA(VLOOKUP(Granger_Inventory[[#This Row],[decade]],Lookups!$G$28:$I$42,3,FALSE),1))</f>
        <v>0.95532362136731586</v>
      </c>
      <c r="BU99" s="4">
        <f>_xlfn.IFNA(VLOOKUP(Granger_Inventory[[#This Row],[living_area_range]],Lookups!$A$48:$C$57,3,FALSE),1)</f>
        <v>0.97860968051050168</v>
      </c>
      <c r="BV99" s="4">
        <f>AVERAGE(Granger_Inventory[[#This Row],[qual_adj]:[living_range_adj]])</f>
        <v>0.97894589993108483</v>
      </c>
      <c r="BW99" s="8">
        <f>(Granger_Inventory[[#This Row],[sum_land]]-IF(Granger_Inventory[[#This Row],[no_utilities]]=1,12000,0))/IF(Granger_Inventory[[#This Row],[unbuildable]]=1,2,1)</f>
        <v>57081.53333007855</v>
      </c>
      <c r="BX99" s="8">
        <f>Granger_Inventory[[#This Row],[pre_res]]*Granger_Inventory[[#This Row],[overall_adj]]</f>
        <v>309500.11170033755</v>
      </c>
      <c r="BY99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99">
        <f>ROUND(Granger_Inventory[[#This Row],[detatched_value]]*Lookups!$I$45,-2)</f>
        <v>0</v>
      </c>
      <c r="CA99">
        <f>IF(ROUND(Granger_Inventory[[#This Row],[adj_res]]*Lookups!$I$45,-2)&lt;Granger_Inventory[[#This Row],[min_res]],Granger_Inventory[[#This Row],[min_res]],ROUND(Granger_Inventory[[#This Row],[adj_res]]*Lookups!$I$45,-2))</f>
        <v>294000</v>
      </c>
      <c r="CB99">
        <f>Granger_Inventory[[#This Row],[final_det]]+Granger_Inventory[[#This Row],[final_res]]</f>
        <v>294000</v>
      </c>
      <c r="CC99">
        <f>Granger_Inventory[[#This Row],[final_land]]+Granger_Inventory[[#This Row],[final_imp]]+Granger_Inventory[[#This Row],[crop_value]]</f>
        <v>348200</v>
      </c>
      <c r="CE99" t="str">
        <f t="shared" si="1"/>
        <v>update valuation set market_land =54200, market_bldg=294000, market_total =348200, market_mdno =402, market_date ='9/10/2023' where link_id = (select link_id from parcel where parcel_year = '2024' and parcel_id = '21101613407');</v>
      </c>
    </row>
    <row r="100" spans="1:83" x14ac:dyDescent="0.25">
      <c r="A100">
        <v>21101613408</v>
      </c>
      <c r="B100">
        <v>0.56999999999999995</v>
      </c>
      <c r="C100" t="s">
        <v>137</v>
      </c>
      <c r="D100" t="s">
        <v>137</v>
      </c>
      <c r="E100" t="s">
        <v>54</v>
      </c>
      <c r="F100" t="s">
        <v>54</v>
      </c>
      <c r="G100">
        <v>3</v>
      </c>
      <c r="H100" t="s">
        <v>55</v>
      </c>
      <c r="I100">
        <v>314800</v>
      </c>
      <c r="J100">
        <v>32000</v>
      </c>
      <c r="K100">
        <v>0.56999999999999995</v>
      </c>
      <c r="L100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100">
        <v>0</v>
      </c>
      <c r="N100">
        <v>0</v>
      </c>
      <c r="O100">
        <v>0</v>
      </c>
      <c r="P100">
        <v>47108.068500000001</v>
      </c>
      <c r="Q100">
        <v>122298</v>
      </c>
      <c r="R100">
        <f>(Granger_Inventory[[#This Row],[ln_acres]]*Granger_Inventory[[#This Row],[coeff]])+Granger_Inventory[[#This Row],[const]]</f>
        <v>95817.663498477079</v>
      </c>
      <c r="S100" t="s">
        <v>59</v>
      </c>
      <c r="T100">
        <v>1</v>
      </c>
      <c r="U100" t="s">
        <v>57</v>
      </c>
      <c r="V100" t="s">
        <v>58</v>
      </c>
      <c r="W100">
        <v>0</v>
      </c>
      <c r="X100">
        <v>0</v>
      </c>
      <c r="Y100">
        <v>3</v>
      </c>
      <c r="Z100">
        <v>3</v>
      </c>
      <c r="AA100">
        <v>10</v>
      </c>
      <c r="AB100">
        <v>2000</v>
      </c>
      <c r="AC100">
        <v>1740</v>
      </c>
      <c r="AD100">
        <v>1740</v>
      </c>
      <c r="AE100">
        <v>0</v>
      </c>
      <c r="AF100">
        <v>0</v>
      </c>
      <c r="AG100">
        <v>0</v>
      </c>
      <c r="AH100">
        <v>0</v>
      </c>
      <c r="AI100">
        <v>540</v>
      </c>
      <c r="AJ100">
        <v>0</v>
      </c>
      <c r="AK100">
        <v>0</v>
      </c>
      <c r="AL100">
        <v>0</v>
      </c>
      <c r="AM100">
        <v>0</v>
      </c>
      <c r="AN100">
        <v>72</v>
      </c>
      <c r="AO100">
        <v>0</v>
      </c>
      <c r="AP100">
        <v>9</v>
      </c>
      <c r="AQ100">
        <v>0</v>
      </c>
      <c r="AR100">
        <v>0</v>
      </c>
      <c r="AS100" t="s">
        <v>59</v>
      </c>
      <c r="AT100">
        <v>1</v>
      </c>
      <c r="AU100" t="s">
        <v>63</v>
      </c>
      <c r="AV100" t="s">
        <v>65</v>
      </c>
      <c r="AW100">
        <v>1</v>
      </c>
      <c r="AX100">
        <v>3</v>
      </c>
      <c r="AY100">
        <v>0</v>
      </c>
      <c r="AZ100">
        <v>0</v>
      </c>
      <c r="BA100">
        <v>100</v>
      </c>
      <c r="BB100">
        <v>100</v>
      </c>
      <c r="BC100">
        <v>100</v>
      </c>
      <c r="BD100">
        <v>100</v>
      </c>
      <c r="BE100">
        <v>1</v>
      </c>
      <c r="BF100">
        <v>15000</v>
      </c>
      <c r="BG100">
        <v>1000</v>
      </c>
      <c r="BH100" s="8">
        <f>Granger_Inventory[[#This Row],[land_extract]]*Lookups!$B$3</f>
        <v>57081.53333007855</v>
      </c>
      <c r="BI100" s="8">
        <f>IF(Granger_Inventory[[#This Row],[bldg_style]]="",0,Lookups!$B$2)</f>
        <v>29703.559000000001</v>
      </c>
      <c r="BJ100" s="8">
        <f>_xlfn.IFNA(VLOOKUP(Granger_Inventory[[#This Row],[quality]],Lookups!$H$2:$J$14,3,FALSE),0)</f>
        <v>56414</v>
      </c>
      <c r="BK100" s="8">
        <f>_xlfn.IFNA(VLOOKUP(Granger_Inventory[[#This Row],[condition]],Lookups!$H$17:$J$24,3,FALSE),0)</f>
        <v>101774</v>
      </c>
      <c r="BL100" s="8">
        <f>Granger_Inventory[[#This Row],[Age]]*Lookups!$B$16</f>
        <v>-621.99329999999998</v>
      </c>
      <c r="BM100" s="8">
        <f>Granger_Inventory[[#This Row],[living_area]]*Lookups!$B$17</f>
        <v>117054.86166</v>
      </c>
      <c r="BN100" s="8">
        <f>(Granger_Inventory[[#This Row],[att_gar]]+Granger_Inventory[[#This Row],[blt_gar]])*Lookups!$B$18</f>
        <v>26161.69644</v>
      </c>
      <c r="BO100" s="8">
        <f>Granger_Inventory[[#This Row],[Patio]]*Lookups!$B$19</f>
        <v>0</v>
      </c>
      <c r="BP100" s="8">
        <f>SUM(Granger_Inventory[[#This Row],[Intercept]:[Patio_Value]])*Granger_Inventory[[#This Row],[res_pct]]</f>
        <v>330486.12379999994</v>
      </c>
      <c r="BQ100" s="8">
        <f>Granger_Inventory[[#This Row],[land_value]]</f>
        <v>57081.53333007855</v>
      </c>
      <c r="BR100" s="4">
        <f>_xlfn.IFNA(VLOOKUP(Granger_Inventory[[#This Row],[quality]],Lookups!$A$25:$C$35,3,FALSE),1)</f>
        <v>0.98791809110152173</v>
      </c>
      <c r="BS100" s="4">
        <f>_xlfn.IFNA(VLOOKUP(Granger_Inventory[[#This Row],[condition]],Lookups!$A$38:$C$45,3,FALSE),1)</f>
        <v>0.99135053432734199</v>
      </c>
      <c r="BT100" s="4">
        <f>IF(Granger_Inventory[[#This Row],[decade]]="",1,_xlfn.IFNA(VLOOKUP(Granger_Inventory[[#This Row],[decade]],Lookups!$G$28:$I$42,3,FALSE),1))</f>
        <v>0.95532362136731586</v>
      </c>
      <c r="BU100" s="4">
        <f>_xlfn.IFNA(VLOOKUP(Granger_Inventory[[#This Row],[living_area_range]],Lookups!$A$48:$C$57,3,FALSE),1)</f>
        <v>0.97860968051050168</v>
      </c>
      <c r="BV100" s="4">
        <f>AVERAGE(Granger_Inventory[[#This Row],[qual_adj]:[living_range_adj]])</f>
        <v>0.97830048182667029</v>
      </c>
      <c r="BW100" s="8">
        <f>(Granger_Inventory[[#This Row],[sum_land]]-IF(Granger_Inventory[[#This Row],[no_utilities]]=1,12000,0))/IF(Granger_Inventory[[#This Row],[unbuildable]]=1,2,1)</f>
        <v>57081.53333007855</v>
      </c>
      <c r="BX100" s="8">
        <f>Granger_Inventory[[#This Row],[pre_res]]*Granger_Inventory[[#This Row],[overall_adj]]</f>
        <v>323314.73415056855</v>
      </c>
      <c r="BY100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100">
        <f>ROUND(Granger_Inventory[[#This Row],[detatched_value]]*Lookups!$I$45,-2)</f>
        <v>0</v>
      </c>
      <c r="CA100">
        <f>IF(ROUND(Granger_Inventory[[#This Row],[adj_res]]*Lookups!$I$45,-2)&lt;Granger_Inventory[[#This Row],[min_res]],Granger_Inventory[[#This Row],[min_res]],ROUND(Granger_Inventory[[#This Row],[adj_res]]*Lookups!$I$45,-2))</f>
        <v>307100</v>
      </c>
      <c r="CB100">
        <f>Granger_Inventory[[#This Row],[final_det]]+Granger_Inventory[[#This Row],[final_res]]</f>
        <v>307100</v>
      </c>
      <c r="CC100">
        <f>Granger_Inventory[[#This Row],[final_land]]+Granger_Inventory[[#This Row],[final_imp]]+Granger_Inventory[[#This Row],[crop_value]]</f>
        <v>361300</v>
      </c>
      <c r="CE100" t="str">
        <f t="shared" si="1"/>
        <v>update valuation set market_land =54200, market_bldg=307100, market_total =361300, market_mdno =402, market_date ='9/10/2023' where link_id = (select link_id from parcel where parcel_year = '2024' and parcel_id = '21101613408');</v>
      </c>
    </row>
    <row r="101" spans="1:83" x14ac:dyDescent="0.25">
      <c r="A101">
        <v>21101613409</v>
      </c>
      <c r="B101">
        <v>0.56999999999999995</v>
      </c>
      <c r="C101" t="s">
        <v>137</v>
      </c>
      <c r="D101" t="s">
        <v>137</v>
      </c>
      <c r="E101" t="s">
        <v>54</v>
      </c>
      <c r="F101" t="s">
        <v>54</v>
      </c>
      <c r="G101">
        <v>3</v>
      </c>
      <c r="H101" t="s">
        <v>55</v>
      </c>
      <c r="I101">
        <v>329000</v>
      </c>
      <c r="J101">
        <v>32000</v>
      </c>
      <c r="K101">
        <v>0.56999999999999995</v>
      </c>
      <c r="L101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101">
        <v>0</v>
      </c>
      <c r="N101">
        <v>0</v>
      </c>
      <c r="O101">
        <v>0</v>
      </c>
      <c r="P101">
        <v>47108.068500000001</v>
      </c>
      <c r="Q101">
        <v>122298</v>
      </c>
      <c r="R101">
        <f>(Granger_Inventory[[#This Row],[ln_acres]]*Granger_Inventory[[#This Row],[coeff]])+Granger_Inventory[[#This Row],[const]]</f>
        <v>95817.663498477079</v>
      </c>
      <c r="S101" t="s">
        <v>62</v>
      </c>
      <c r="T101">
        <v>1</v>
      </c>
      <c r="U101" t="s">
        <v>57</v>
      </c>
      <c r="V101" t="s">
        <v>58</v>
      </c>
      <c r="W101">
        <v>0</v>
      </c>
      <c r="X101">
        <v>0</v>
      </c>
      <c r="Y101">
        <v>2</v>
      </c>
      <c r="Z101">
        <v>2</v>
      </c>
      <c r="AA101">
        <v>10</v>
      </c>
      <c r="AB101">
        <v>2000</v>
      </c>
      <c r="AC101">
        <v>1824</v>
      </c>
      <c r="AD101">
        <v>1824</v>
      </c>
      <c r="AE101">
        <v>0</v>
      </c>
      <c r="AF101">
        <v>0</v>
      </c>
      <c r="AG101">
        <v>0</v>
      </c>
      <c r="AH101">
        <v>0</v>
      </c>
      <c r="AI101">
        <v>768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10</v>
      </c>
      <c r="AQ101">
        <v>0</v>
      </c>
      <c r="AR101">
        <v>0</v>
      </c>
      <c r="AS101" t="s">
        <v>59</v>
      </c>
      <c r="AT101">
        <v>1</v>
      </c>
      <c r="AU101" t="s">
        <v>63</v>
      </c>
      <c r="AV101" t="s">
        <v>65</v>
      </c>
      <c r="AW101">
        <v>1</v>
      </c>
      <c r="AX101">
        <v>3</v>
      </c>
      <c r="AY101">
        <v>0</v>
      </c>
      <c r="AZ101">
        <v>0</v>
      </c>
      <c r="BA101">
        <v>100</v>
      </c>
      <c r="BB101">
        <v>100</v>
      </c>
      <c r="BC101">
        <v>100</v>
      </c>
      <c r="BD101">
        <v>100</v>
      </c>
      <c r="BE101">
        <v>1</v>
      </c>
      <c r="BF101">
        <v>15000</v>
      </c>
      <c r="BG101">
        <v>1000</v>
      </c>
      <c r="BH101" s="8">
        <f>Granger_Inventory[[#This Row],[land_extract]]*Lookups!$B$3</f>
        <v>57081.53333007855</v>
      </c>
      <c r="BI101" s="8">
        <f>IF(Granger_Inventory[[#This Row],[bldg_style]]="",0,Lookups!$B$2)</f>
        <v>29703.559000000001</v>
      </c>
      <c r="BJ101" s="8">
        <f>_xlfn.IFNA(VLOOKUP(Granger_Inventory[[#This Row],[quality]],Lookups!$H$2:$J$14,3,FALSE),0)</f>
        <v>56414</v>
      </c>
      <c r="BK101" s="8">
        <f>_xlfn.IFNA(VLOOKUP(Granger_Inventory[[#This Row],[condition]],Lookups!$H$17:$J$24,3,FALSE),0)</f>
        <v>101774</v>
      </c>
      <c r="BL101" s="8">
        <f>Granger_Inventory[[#This Row],[Age]]*Lookups!$B$16</f>
        <v>-414.66219999999998</v>
      </c>
      <c r="BM101" s="8">
        <f>Granger_Inventory[[#This Row],[living_area]]*Lookups!$B$17</f>
        <v>122705.786016</v>
      </c>
      <c r="BN101" s="8">
        <f>(Granger_Inventory[[#This Row],[att_gar]]+Granger_Inventory[[#This Row],[blt_gar]])*Lookups!$B$18</f>
        <v>37207.746048000001</v>
      </c>
      <c r="BO101" s="8">
        <f>Granger_Inventory[[#This Row],[Patio]]*Lookups!$B$19</f>
        <v>0</v>
      </c>
      <c r="BP101" s="8">
        <f>SUM(Granger_Inventory[[#This Row],[Intercept]:[Patio_Value]])*Granger_Inventory[[#This Row],[res_pct]]</f>
        <v>347390.42886400002</v>
      </c>
      <c r="BQ101" s="8">
        <f>Granger_Inventory[[#This Row],[land_value]]</f>
        <v>57081.53333007855</v>
      </c>
      <c r="BR101" s="4">
        <f>_xlfn.IFNA(VLOOKUP(Granger_Inventory[[#This Row],[quality]],Lookups!$A$25:$C$35,3,FALSE),1)</f>
        <v>0.98791809110152173</v>
      </c>
      <c r="BS101" s="4">
        <f>_xlfn.IFNA(VLOOKUP(Granger_Inventory[[#This Row],[condition]],Lookups!$A$38:$C$45,3,FALSE),1)</f>
        <v>0.99135053432734199</v>
      </c>
      <c r="BT101" s="4">
        <f>IF(Granger_Inventory[[#This Row],[decade]]="",1,_xlfn.IFNA(VLOOKUP(Granger_Inventory[[#This Row],[decade]],Lookups!$G$28:$I$42,3,FALSE),1))</f>
        <v>0.95532362136731586</v>
      </c>
      <c r="BU101" s="4">
        <f>_xlfn.IFNA(VLOOKUP(Granger_Inventory[[#This Row],[living_area_range]],Lookups!$A$48:$C$57,3,FALSE),1)</f>
        <v>0.97860968051050168</v>
      </c>
      <c r="BV101" s="4">
        <f>AVERAGE(Granger_Inventory[[#This Row],[qual_adj]:[living_range_adj]])</f>
        <v>0.97830048182667029</v>
      </c>
      <c r="BW101" s="8">
        <f>(Granger_Inventory[[#This Row],[sum_land]]-IF(Granger_Inventory[[#This Row],[no_utilities]]=1,12000,0))/IF(Granger_Inventory[[#This Row],[unbuildable]]=1,2,1)</f>
        <v>57081.53333007855</v>
      </c>
      <c r="BX101" s="8">
        <f>Granger_Inventory[[#This Row],[pre_res]]*Granger_Inventory[[#This Row],[overall_adj]]</f>
        <v>339852.22393962485</v>
      </c>
      <c r="BY101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101">
        <f>ROUND(Granger_Inventory[[#This Row],[detatched_value]]*Lookups!$I$45,-2)</f>
        <v>0</v>
      </c>
      <c r="CA101">
        <f>IF(ROUND(Granger_Inventory[[#This Row],[adj_res]]*Lookups!$I$45,-2)&lt;Granger_Inventory[[#This Row],[min_res]],Granger_Inventory[[#This Row],[min_res]],ROUND(Granger_Inventory[[#This Row],[adj_res]]*Lookups!$I$45,-2))</f>
        <v>322900</v>
      </c>
      <c r="CB101">
        <f>Granger_Inventory[[#This Row],[final_det]]+Granger_Inventory[[#This Row],[final_res]]</f>
        <v>322900</v>
      </c>
      <c r="CC101">
        <f>Granger_Inventory[[#This Row],[final_land]]+Granger_Inventory[[#This Row],[final_imp]]+Granger_Inventory[[#This Row],[crop_value]]</f>
        <v>377100</v>
      </c>
      <c r="CE101" t="str">
        <f t="shared" si="1"/>
        <v>update valuation set market_land =54200, market_bldg=322900, market_total =377100, market_mdno =402, market_date ='9/10/2023' where link_id = (select link_id from parcel where parcel_year = '2024' and parcel_id = '21101613409');</v>
      </c>
    </row>
    <row r="102" spans="1:83" x14ac:dyDescent="0.25">
      <c r="A102">
        <v>21101613410</v>
      </c>
      <c r="B102">
        <v>1.36</v>
      </c>
      <c r="C102" t="s">
        <v>137</v>
      </c>
      <c r="D102" t="s">
        <v>137</v>
      </c>
      <c r="E102" t="s">
        <v>54</v>
      </c>
      <c r="F102" t="s">
        <v>54</v>
      </c>
      <c r="G102">
        <v>3</v>
      </c>
      <c r="H102" t="s">
        <v>55</v>
      </c>
      <c r="I102">
        <v>313500</v>
      </c>
      <c r="J102">
        <v>36900</v>
      </c>
      <c r="K102">
        <v>1.36</v>
      </c>
      <c r="L102">
        <f>IF(Granger_Inventory[[#This Row],[parcel_acres]]-Granger_Inventory[[#This Row],[non_valued_acres]] =0,0,LN(Granger_Inventory[[#This Row],[parcel_acres]]-Granger_Inventory[[#This Row],[non_valued_acres]]))</f>
        <v>0.30748469974796072</v>
      </c>
      <c r="M102">
        <v>0</v>
      </c>
      <c r="N102">
        <v>0</v>
      </c>
      <c r="O102">
        <v>0</v>
      </c>
      <c r="P102">
        <v>47108.068500000001</v>
      </c>
      <c r="Q102">
        <v>122298</v>
      </c>
      <c r="R102">
        <f>(Granger_Inventory[[#This Row],[ln_acres]]*Granger_Inventory[[#This Row],[coeff]])+Granger_Inventory[[#This Row],[const]]</f>
        <v>136783.01029842885</v>
      </c>
      <c r="S102" t="s">
        <v>56</v>
      </c>
      <c r="T102">
        <v>1</v>
      </c>
      <c r="U102" t="s">
        <v>64</v>
      </c>
      <c r="V102" t="s">
        <v>77</v>
      </c>
      <c r="W102">
        <v>0</v>
      </c>
      <c r="X102">
        <v>0</v>
      </c>
      <c r="Y102">
        <v>44</v>
      </c>
      <c r="Z102">
        <v>44</v>
      </c>
      <c r="AA102">
        <v>50</v>
      </c>
      <c r="AB102">
        <v>3000</v>
      </c>
      <c r="AC102">
        <v>2668</v>
      </c>
      <c r="AD102">
        <v>1334</v>
      </c>
      <c r="AE102">
        <v>0</v>
      </c>
      <c r="AF102">
        <v>0</v>
      </c>
      <c r="AG102">
        <v>1334</v>
      </c>
      <c r="AH102">
        <v>0</v>
      </c>
      <c r="AI102">
        <v>624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8</v>
      </c>
      <c r="AQ102">
        <v>0</v>
      </c>
      <c r="AR102">
        <v>1</v>
      </c>
      <c r="AS102" t="s">
        <v>59</v>
      </c>
      <c r="AT102">
        <v>1</v>
      </c>
      <c r="AU102" t="s">
        <v>60</v>
      </c>
      <c r="AV102" t="s">
        <v>65</v>
      </c>
      <c r="AW102">
        <v>0</v>
      </c>
      <c r="AX102">
        <v>3</v>
      </c>
      <c r="AY102">
        <v>0</v>
      </c>
      <c r="AZ102">
        <v>63000</v>
      </c>
      <c r="BA102">
        <v>100</v>
      </c>
      <c r="BB102">
        <v>100</v>
      </c>
      <c r="BC102">
        <v>100</v>
      </c>
      <c r="BD102">
        <v>100</v>
      </c>
      <c r="BE102">
        <v>1</v>
      </c>
      <c r="BF102">
        <v>15000</v>
      </c>
      <c r="BG102">
        <v>1000</v>
      </c>
      <c r="BH102" s="8">
        <f>Granger_Inventory[[#This Row],[land_extract]]*Lookups!$B$3</f>
        <v>81485.852151491257</v>
      </c>
      <c r="BI102" s="8">
        <f>IF(Granger_Inventory[[#This Row],[bldg_style]]="",0,Lookups!$B$2)</f>
        <v>29703.559000000001</v>
      </c>
      <c r="BJ102" s="8">
        <f>_xlfn.IFNA(VLOOKUP(Granger_Inventory[[#This Row],[quality]],Lookups!$H$2:$J$14,3,FALSE),0)</f>
        <v>36568</v>
      </c>
      <c r="BK102" s="8">
        <f>_xlfn.IFNA(VLOOKUP(Granger_Inventory[[#This Row],[condition]],Lookups!$H$17:$J$24,3,FALSE),0)</f>
        <v>33736</v>
      </c>
      <c r="BL102" s="8">
        <f>Granger_Inventory[[#This Row],[Age]]*Lookups!$B$16</f>
        <v>-9122.5684000000001</v>
      </c>
      <c r="BM102" s="8">
        <f>Granger_Inventory[[#This Row],[living_area]]*Lookups!$B$17</f>
        <v>179484.121212</v>
      </c>
      <c r="BN102" s="8">
        <f>(Granger_Inventory[[#This Row],[att_gar]]+Granger_Inventory[[#This Row],[blt_gar]])*Lookups!$B$18</f>
        <v>30231.293664000001</v>
      </c>
      <c r="BO102" s="8">
        <f>Granger_Inventory[[#This Row],[Patio]]*Lookups!$B$19</f>
        <v>0</v>
      </c>
      <c r="BP102" s="8">
        <f>SUM(Granger_Inventory[[#This Row],[Intercept]:[Patio_Value]])*Granger_Inventory[[#This Row],[res_pct]]</f>
        <v>300600.40547599999</v>
      </c>
      <c r="BQ102" s="8">
        <f>Granger_Inventory[[#This Row],[land_value]]</f>
        <v>81485.852151491257</v>
      </c>
      <c r="BR102" s="4">
        <f>_xlfn.IFNA(VLOOKUP(Granger_Inventory[[#This Row],[quality]],Lookups!$A$25:$C$35,3,FALSE),1)</f>
        <v>0.99049976351917957</v>
      </c>
      <c r="BS102" s="4">
        <f>_xlfn.IFNA(VLOOKUP(Granger_Inventory[[#This Row],[condition]],Lookups!$A$38:$C$45,3,FALSE),1)</f>
        <v>0.92294678898076177</v>
      </c>
      <c r="BT102" s="4">
        <f>IF(Granger_Inventory[[#This Row],[decade]]="",1,_xlfn.IFNA(VLOOKUP(Granger_Inventory[[#This Row],[decade]],Lookups!$G$28:$I$42,3,FALSE),1))</f>
        <v>1.2441094871772171</v>
      </c>
      <c r="BU102" s="4">
        <f>_xlfn.IFNA(VLOOKUP(Granger_Inventory[[#This Row],[living_area_range]],Lookups!$A$48:$C$57,3,FALSE),1)</f>
        <v>0.99995754169072248</v>
      </c>
      <c r="BV102" s="4">
        <f>AVERAGE(Granger_Inventory[[#This Row],[qual_adj]:[living_range_adj]])</f>
        <v>1.0393783953419702</v>
      </c>
      <c r="BW102" s="8">
        <f>(Granger_Inventory[[#This Row],[sum_land]]-IF(Granger_Inventory[[#This Row],[no_utilities]]=1,12000,0))/IF(Granger_Inventory[[#This Row],[unbuildable]]=1,2,1)</f>
        <v>81485.852151491257</v>
      </c>
      <c r="BX102" s="8">
        <f>Granger_Inventory[[#This Row],[pre_res]]*Granger_Inventory[[#This Row],[overall_adj]]</f>
        <v>312437.56708279043</v>
      </c>
      <c r="BY102">
        <f>IF(ROUND(Granger_Inventory[[#This Row],[adj_land]]*Lookups!$I$45,-2)&lt;Granger_Inventory[[#This Row],[min_land]],Granger_Inventory[[#This Row],[min_land]],ROUND(Granger_Inventory[[#This Row],[adj_land]]*Lookups!$I$45,-2))</f>
        <v>77400</v>
      </c>
      <c r="BZ102">
        <f>ROUND(Granger_Inventory[[#This Row],[detatched_value]]*Lookups!$I$45,-2)</f>
        <v>59900</v>
      </c>
      <c r="CA102">
        <f>IF(ROUND(Granger_Inventory[[#This Row],[adj_res]]*Lookups!$I$45,-2)&lt;Granger_Inventory[[#This Row],[min_res]],Granger_Inventory[[#This Row],[min_res]],ROUND(Granger_Inventory[[#This Row],[adj_res]]*Lookups!$I$45,-2))</f>
        <v>296800</v>
      </c>
      <c r="CB102">
        <f>Granger_Inventory[[#This Row],[final_det]]+Granger_Inventory[[#This Row],[final_res]]</f>
        <v>356700</v>
      </c>
      <c r="CC102">
        <f>Granger_Inventory[[#This Row],[final_land]]+Granger_Inventory[[#This Row],[final_imp]]+Granger_Inventory[[#This Row],[crop_value]]</f>
        <v>434100</v>
      </c>
      <c r="CE102" t="str">
        <f t="shared" si="1"/>
        <v>update valuation set market_land =77400, market_bldg=356700, market_total =434100, market_mdno =402, market_date ='9/10/2023' where link_id = (select link_id from parcel where parcel_year = '2024' and parcel_id = '21101613410');</v>
      </c>
    </row>
    <row r="103" spans="1:83" x14ac:dyDescent="0.25">
      <c r="A103">
        <v>21101613415</v>
      </c>
      <c r="B103">
        <v>1.92</v>
      </c>
      <c r="C103" t="s">
        <v>137</v>
      </c>
      <c r="D103" t="s">
        <v>137</v>
      </c>
      <c r="E103" t="s">
        <v>54</v>
      </c>
      <c r="F103" t="s">
        <v>54</v>
      </c>
      <c r="G103">
        <v>3</v>
      </c>
      <c r="H103" t="s">
        <v>55</v>
      </c>
      <c r="I103">
        <v>600500</v>
      </c>
      <c r="J103">
        <v>38800</v>
      </c>
      <c r="K103">
        <v>1.92</v>
      </c>
      <c r="L103">
        <f>IF(Granger_Inventory[[#This Row],[parcel_acres]]-Granger_Inventory[[#This Row],[non_valued_acres]] =0,0,LN(Granger_Inventory[[#This Row],[parcel_acres]]-Granger_Inventory[[#This Row],[non_valued_acres]]))</f>
        <v>0.65232518603969014</v>
      </c>
      <c r="M103">
        <v>0</v>
      </c>
      <c r="N103">
        <v>0</v>
      </c>
      <c r="O103">
        <v>0</v>
      </c>
      <c r="P103">
        <v>47108.068500000001</v>
      </c>
      <c r="Q103">
        <v>122298</v>
      </c>
      <c r="R103">
        <f>(Granger_Inventory[[#This Row],[ln_acres]]*Granger_Inventory[[#This Row],[coeff]])+Granger_Inventory[[#This Row],[const]]</f>
        <v>153027.77954823297</v>
      </c>
      <c r="S103" t="s">
        <v>73</v>
      </c>
      <c r="T103">
        <v>1</v>
      </c>
      <c r="U103" t="s">
        <v>105</v>
      </c>
      <c r="V103" t="s">
        <v>58</v>
      </c>
      <c r="W103">
        <v>165200</v>
      </c>
      <c r="X103">
        <v>0</v>
      </c>
      <c r="Y103">
        <v>2</v>
      </c>
      <c r="Z103">
        <v>2</v>
      </c>
      <c r="AA103">
        <v>10</v>
      </c>
      <c r="AB103">
        <v>5000</v>
      </c>
      <c r="AC103">
        <v>4825</v>
      </c>
      <c r="AD103">
        <v>4153</v>
      </c>
      <c r="AE103">
        <v>0</v>
      </c>
      <c r="AF103">
        <v>672</v>
      </c>
      <c r="AG103">
        <v>0</v>
      </c>
      <c r="AH103">
        <v>0</v>
      </c>
      <c r="AI103">
        <v>1047</v>
      </c>
      <c r="AJ103">
        <v>0</v>
      </c>
      <c r="AK103">
        <v>0</v>
      </c>
      <c r="AL103">
        <v>0</v>
      </c>
      <c r="AM103">
        <v>0</v>
      </c>
      <c r="AN103">
        <v>451</v>
      </c>
      <c r="AO103">
        <v>0</v>
      </c>
      <c r="AP103">
        <v>12</v>
      </c>
      <c r="AQ103">
        <v>0</v>
      </c>
      <c r="AR103">
        <v>0</v>
      </c>
      <c r="AS103" t="s">
        <v>59</v>
      </c>
      <c r="AT103">
        <v>1</v>
      </c>
      <c r="AU103" t="s">
        <v>63</v>
      </c>
      <c r="AV103" t="s">
        <v>65</v>
      </c>
      <c r="AW103">
        <v>1</v>
      </c>
      <c r="AX103">
        <v>3</v>
      </c>
      <c r="AY103">
        <v>0</v>
      </c>
      <c r="AZ103">
        <v>70600</v>
      </c>
      <c r="BA103">
        <v>100</v>
      </c>
      <c r="BB103">
        <v>100</v>
      </c>
      <c r="BC103">
        <v>100</v>
      </c>
      <c r="BD103">
        <v>100</v>
      </c>
      <c r="BE103">
        <v>1</v>
      </c>
      <c r="BF103">
        <v>15000</v>
      </c>
      <c r="BG103">
        <v>1000</v>
      </c>
      <c r="BH103" s="8">
        <f>Granger_Inventory[[#This Row],[land_extract]]*Lookups!$B$3</f>
        <v>91163.361532492461</v>
      </c>
      <c r="BI103" s="8">
        <f>IF(Granger_Inventory[[#This Row],[bldg_style]]="",0,Lookups!$B$2)</f>
        <v>29703.559000000001</v>
      </c>
      <c r="BJ103" s="8">
        <f>_xlfn.IFNA(VLOOKUP(Granger_Inventory[[#This Row],[quality]],Lookups!$H$2:$J$14,3,FALSE),0)</f>
        <v>165598.82373014485</v>
      </c>
      <c r="BK103" s="8">
        <f>_xlfn.IFNA(VLOOKUP(Granger_Inventory[[#This Row],[condition]],Lookups!$H$17:$J$24,3,FALSE),0)</f>
        <v>101774</v>
      </c>
      <c r="BL103" s="8">
        <f>Granger_Inventory[[#This Row],[Age]]*Lookups!$B$16</f>
        <v>-414.66219999999998</v>
      </c>
      <c r="BM103" s="8">
        <f>Granger_Inventory[[#This Row],[living_area]]*Lookups!$B$17</f>
        <v>324591.78592499997</v>
      </c>
      <c r="BN103" s="8">
        <f>(Granger_Inventory[[#This Row],[att_gar]]+Granger_Inventory[[#This Row],[blt_gar]])*Lookups!$B$18</f>
        <v>50724.622542000005</v>
      </c>
      <c r="BO103" s="8">
        <f>Granger_Inventory[[#This Row],[Patio]]*Lookups!$B$19</f>
        <v>0</v>
      </c>
      <c r="BP103" s="8">
        <f>SUM(Granger_Inventory[[#This Row],[Intercept]:[Patio_Value]])*Granger_Inventory[[#This Row],[res_pct]]</f>
        <v>671978.12899714487</v>
      </c>
      <c r="BQ103" s="8">
        <f>Granger_Inventory[[#This Row],[land_value]]</f>
        <v>91163.361532492461</v>
      </c>
      <c r="BR103" s="4">
        <f>_xlfn.IFNA(VLOOKUP(Granger_Inventory[[#This Row],[quality]],Lookups!$A$25:$C$35,3,FALSE),1)</f>
        <v>1.0000039906678986</v>
      </c>
      <c r="BS103" s="4">
        <f>_xlfn.IFNA(VLOOKUP(Granger_Inventory[[#This Row],[condition]],Lookups!$A$38:$C$45,3,FALSE),1)</f>
        <v>0.99135053432734199</v>
      </c>
      <c r="BT103" s="4">
        <f>IF(Granger_Inventory[[#This Row],[decade]]="",1,_xlfn.IFNA(VLOOKUP(Granger_Inventory[[#This Row],[decade]],Lookups!$G$28:$I$42,3,FALSE),1))</f>
        <v>0.95532362136731586</v>
      </c>
      <c r="BU103" s="4">
        <f>_xlfn.IFNA(VLOOKUP(Granger_Inventory[[#This Row],[living_area_range]],Lookups!$A$48:$C$57,3,FALSE),1)</f>
        <v>0.99995754169072248</v>
      </c>
      <c r="BV103" s="4">
        <f>AVERAGE(Granger_Inventory[[#This Row],[qual_adj]:[living_range_adj]])</f>
        <v>0.98665892201331973</v>
      </c>
      <c r="BW103" s="8">
        <f>(Granger_Inventory[[#This Row],[sum_land]]-IF(Granger_Inventory[[#This Row],[no_utilities]]=1,12000,0))/IF(Granger_Inventory[[#This Row],[unbuildable]]=1,2,1)</f>
        <v>91163.361532492461</v>
      </c>
      <c r="BX103" s="8">
        <f>Granger_Inventory[[#This Row],[pre_res]]*Granger_Inventory[[#This Row],[overall_adj]]</f>
        <v>663013.21637285047</v>
      </c>
      <c r="BY103">
        <f>IF(ROUND(Granger_Inventory[[#This Row],[adj_land]]*Lookups!$I$45,-2)&lt;Granger_Inventory[[#This Row],[min_land]],Granger_Inventory[[#This Row],[min_land]],ROUND(Granger_Inventory[[#This Row],[adj_land]]*Lookups!$I$45,-2))</f>
        <v>86600</v>
      </c>
      <c r="BZ103">
        <f>ROUND(Granger_Inventory[[#This Row],[detatched_value]]*Lookups!$I$45,-2)</f>
        <v>67100</v>
      </c>
      <c r="CA103">
        <f>IF(ROUND(Granger_Inventory[[#This Row],[adj_res]]*Lookups!$I$45,-2)&lt;Granger_Inventory[[#This Row],[min_res]],Granger_Inventory[[#This Row],[min_res]],ROUND(Granger_Inventory[[#This Row],[adj_res]]*Lookups!$I$45,-2))</f>
        <v>629900</v>
      </c>
      <c r="CB103">
        <f>Granger_Inventory[[#This Row],[final_det]]+Granger_Inventory[[#This Row],[final_res]]</f>
        <v>697000</v>
      </c>
      <c r="CC103">
        <f>Granger_Inventory[[#This Row],[final_land]]+Granger_Inventory[[#This Row],[final_imp]]+Granger_Inventory[[#This Row],[crop_value]]</f>
        <v>783600</v>
      </c>
      <c r="CE103" t="str">
        <f t="shared" si="1"/>
        <v>update valuation set market_land =86600, market_bldg=697000, market_total =783600, market_mdno =402, market_date ='9/10/2023' where link_id = (select link_id from parcel where parcel_year = '2024' and parcel_id = '21101613415');</v>
      </c>
    </row>
    <row r="104" spans="1:83" x14ac:dyDescent="0.25">
      <c r="A104">
        <v>21101613423</v>
      </c>
      <c r="B104" t="s">
        <v>137</v>
      </c>
      <c r="C104">
        <v>24695</v>
      </c>
      <c r="D104" t="s">
        <v>137</v>
      </c>
      <c r="E104" t="s">
        <v>54</v>
      </c>
      <c r="F104" t="s">
        <v>54</v>
      </c>
      <c r="G104">
        <v>3</v>
      </c>
      <c r="H104" t="s">
        <v>55</v>
      </c>
      <c r="I104" t="s">
        <v>137</v>
      </c>
      <c r="J104" t="s">
        <v>137</v>
      </c>
      <c r="K104">
        <v>0.56999999999999995</v>
      </c>
      <c r="L104">
        <f>IF(Granger_Inventory[[#This Row],[parcel_acres]]-Granger_Inventory[[#This Row],[non_valued_acres]] =0,0,LN(Granger_Inventory[[#This Row],[parcel_acres]]-Granger_Inventory[[#This Row],[non_valued_acres]]))</f>
        <v>-0.56211891815354131</v>
      </c>
      <c r="M104">
        <v>0</v>
      </c>
      <c r="N104">
        <v>0</v>
      </c>
      <c r="O104">
        <v>0</v>
      </c>
      <c r="P104">
        <v>47108.068500000001</v>
      </c>
      <c r="Q104">
        <v>122298</v>
      </c>
      <c r="R104">
        <f>(Granger_Inventory[[#This Row],[ln_acres]]*Granger_Inventory[[#This Row],[coeff]])+Granger_Inventory[[#This Row],[const]]</f>
        <v>95817.663498477079</v>
      </c>
      <c r="S104" t="s">
        <v>62</v>
      </c>
      <c r="T104">
        <v>1</v>
      </c>
      <c r="U104" t="s">
        <v>61</v>
      </c>
      <c r="V104" t="s">
        <v>58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2500</v>
      </c>
      <c r="AC104">
        <v>2160</v>
      </c>
      <c r="AD104">
        <v>2160</v>
      </c>
      <c r="AE104">
        <v>0</v>
      </c>
      <c r="AF104">
        <v>0</v>
      </c>
      <c r="AG104">
        <v>0</v>
      </c>
      <c r="AH104">
        <v>0</v>
      </c>
      <c r="AI104">
        <v>908</v>
      </c>
      <c r="AJ104">
        <v>0</v>
      </c>
      <c r="AK104">
        <v>0</v>
      </c>
      <c r="AL104">
        <v>0</v>
      </c>
      <c r="AM104">
        <v>0</v>
      </c>
      <c r="AN104">
        <v>580</v>
      </c>
      <c r="AO104">
        <v>0</v>
      </c>
      <c r="AP104">
        <v>13</v>
      </c>
      <c r="AQ104">
        <v>0</v>
      </c>
      <c r="AR104">
        <v>0</v>
      </c>
      <c r="AS104" t="s">
        <v>59</v>
      </c>
      <c r="AT104">
        <v>1</v>
      </c>
      <c r="AU104" t="s">
        <v>63</v>
      </c>
      <c r="AV104" t="s">
        <v>61</v>
      </c>
      <c r="AW104">
        <v>1</v>
      </c>
      <c r="AX104">
        <v>3</v>
      </c>
      <c r="AY104">
        <v>0</v>
      </c>
      <c r="AZ104">
        <v>0</v>
      </c>
      <c r="BA104">
        <v>100</v>
      </c>
      <c r="BB104">
        <v>100</v>
      </c>
      <c r="BC104">
        <v>100</v>
      </c>
      <c r="BD104">
        <v>20</v>
      </c>
      <c r="BE104">
        <v>0.2</v>
      </c>
      <c r="BF104">
        <v>15000</v>
      </c>
      <c r="BG104">
        <v>1000</v>
      </c>
      <c r="BH104" s="8">
        <f>Granger_Inventory[[#This Row],[land_extract]]*Lookups!$B$3</f>
        <v>57081.53333007855</v>
      </c>
      <c r="BI104" s="8">
        <f>IF(Granger_Inventory[[#This Row],[bldg_style]]="",0,Lookups!$B$2)</f>
        <v>29703.559000000001</v>
      </c>
      <c r="BJ104" s="8">
        <f>_xlfn.IFNA(VLOOKUP(Granger_Inventory[[#This Row],[quality]],Lookups!$H$2:$J$14,3,FALSE),0)</f>
        <v>71767</v>
      </c>
      <c r="BK104" s="8">
        <f>_xlfn.IFNA(VLOOKUP(Granger_Inventory[[#This Row],[condition]],Lookups!$H$17:$J$24,3,FALSE),0)</f>
        <v>101774</v>
      </c>
      <c r="BL104" s="8">
        <f>Granger_Inventory[[#This Row],[Age]]*Lookups!$B$16</f>
        <v>0</v>
      </c>
      <c r="BM104" s="8">
        <f>Granger_Inventory[[#This Row],[living_area]]*Lookups!$B$17</f>
        <v>145309.48344000001</v>
      </c>
      <c r="BN104" s="8">
        <f>(Granger_Inventory[[#This Row],[att_gar]]+Granger_Inventory[[#This Row],[blt_gar]])*Lookups!$B$18</f>
        <v>43990.408088000004</v>
      </c>
      <c r="BO104" s="8">
        <f>Granger_Inventory[[#This Row],[Patio]]*Lookups!$B$19</f>
        <v>0</v>
      </c>
      <c r="BP104" s="8">
        <f>SUM(Granger_Inventory[[#This Row],[Intercept]:[Patio_Value]])*Granger_Inventory[[#This Row],[res_pct]]</f>
        <v>78508.890105600003</v>
      </c>
      <c r="BQ104" s="8">
        <f>Granger_Inventory[[#This Row],[land_value]]</f>
        <v>57081.53333007855</v>
      </c>
      <c r="BR104" s="4">
        <f>_xlfn.IFNA(VLOOKUP(Granger_Inventory[[#This Row],[quality]],Lookups!$A$25:$C$35,3,FALSE),1)</f>
        <v>0.992092799099482</v>
      </c>
      <c r="BS104" s="4">
        <f>_xlfn.IFNA(VLOOKUP(Granger_Inventory[[#This Row],[condition]],Lookups!$A$38:$C$45,3,FALSE),1)</f>
        <v>0.99135053432734199</v>
      </c>
      <c r="BT104" s="4">
        <f>IF(Granger_Inventory[[#This Row],[decade]]="",1,_xlfn.IFNA(VLOOKUP(Granger_Inventory[[#This Row],[decade]],Lookups!$G$28:$I$42,3,FALSE),1))</f>
        <v>0.99951026660104636</v>
      </c>
      <c r="BU104" s="4">
        <f>_xlfn.IFNA(VLOOKUP(Granger_Inventory[[#This Row],[living_area_range]],Lookups!$A$48:$C$57,3,FALSE),1)</f>
        <v>1.0000039906678986</v>
      </c>
      <c r="BV104" s="4">
        <f>AVERAGE(Granger_Inventory[[#This Row],[qual_adj]:[living_range_adj]])</f>
        <v>0.99573939767394215</v>
      </c>
      <c r="BW104" s="8">
        <f>(Granger_Inventory[[#This Row],[sum_land]]-IF(Granger_Inventory[[#This Row],[no_utilities]]=1,12000,0))/IF(Granger_Inventory[[#This Row],[unbuildable]]=1,2,1)</f>
        <v>57081.53333007855</v>
      </c>
      <c r="BX104" s="8">
        <f>Granger_Inventory[[#This Row],[pre_res]]*Granger_Inventory[[#This Row],[overall_adj]]</f>
        <v>78174.394945799868</v>
      </c>
      <c r="BY104">
        <f>IF(ROUND(Granger_Inventory[[#This Row],[adj_land]]*Lookups!$I$45,-2)&lt;Granger_Inventory[[#This Row],[min_land]],Granger_Inventory[[#This Row],[min_land]],ROUND(Granger_Inventory[[#This Row],[adj_land]]*Lookups!$I$45,-2))</f>
        <v>54200</v>
      </c>
      <c r="BZ104">
        <f>ROUND(Granger_Inventory[[#This Row],[detatched_value]]*Lookups!$I$45,-2)</f>
        <v>0</v>
      </c>
      <c r="CA104">
        <f>IF(ROUND(Granger_Inventory[[#This Row],[adj_res]]*Lookups!$I$45,-2)&lt;Granger_Inventory[[#This Row],[min_res]],Granger_Inventory[[#This Row],[min_res]],ROUND(Granger_Inventory[[#This Row],[adj_res]]*Lookups!$I$45,-2))</f>
        <v>74300</v>
      </c>
      <c r="CB104">
        <f>Granger_Inventory[[#This Row],[final_det]]+Granger_Inventory[[#This Row],[final_res]]</f>
        <v>74300</v>
      </c>
      <c r="CC104">
        <f>Granger_Inventory[[#This Row],[final_land]]+Granger_Inventory[[#This Row],[final_imp]]+Granger_Inventory[[#This Row],[crop_value]]</f>
        <v>128500</v>
      </c>
      <c r="CE104" t="str">
        <f t="shared" si="1"/>
        <v>update valuation set market_land =54200, market_bldg=74300, market_total =128500, market_mdno =402, market_date ='9/10/2023' where link_id = (select link_id from parcel where parcel_year = '2024' and parcel_id = '21101613423');</v>
      </c>
    </row>
    <row r="105" spans="1:83" x14ac:dyDescent="0.25">
      <c r="A105">
        <v>21101622400</v>
      </c>
      <c r="B105">
        <v>63.37</v>
      </c>
      <c r="C105" t="s">
        <v>137</v>
      </c>
      <c r="D105" t="s">
        <v>137</v>
      </c>
      <c r="E105" t="s">
        <v>54</v>
      </c>
      <c r="F105" t="s">
        <v>54</v>
      </c>
      <c r="G105">
        <v>3</v>
      </c>
      <c r="H105" t="s">
        <v>171</v>
      </c>
      <c r="I105" t="s">
        <v>137</v>
      </c>
      <c r="J105" t="s">
        <v>137</v>
      </c>
      <c r="K105">
        <v>63.37</v>
      </c>
      <c r="L105">
        <f>IF(Granger_Inventory[[#This Row],[parcel_acres]]-Granger_Inventory[[#This Row],[non_valued_acres]] =0,0,LN(Granger_Inventory[[#This Row],[parcel_acres]]-Granger_Inventory[[#This Row],[non_valued_acres]]))</f>
        <v>4.1489905633354258</v>
      </c>
      <c r="M105">
        <v>0</v>
      </c>
      <c r="N105">
        <v>0</v>
      </c>
      <c r="O105">
        <v>0</v>
      </c>
      <c r="P105">
        <v>47108.068500000001</v>
      </c>
      <c r="Q105">
        <v>122298</v>
      </c>
      <c r="R105">
        <f>(Granger_Inventory[[#This Row],[ln_acres]]*Granger_Inventory[[#This Row],[coeff]])+Granger_Inventory[[#This Row],[const]]</f>
        <v>317748.93166345882</v>
      </c>
      <c r="S105" t="s">
        <v>56</v>
      </c>
      <c r="T105">
        <v>1</v>
      </c>
      <c r="U105" t="s">
        <v>64</v>
      </c>
      <c r="V105" t="s">
        <v>77</v>
      </c>
      <c r="W105">
        <v>0</v>
      </c>
      <c r="X105">
        <v>0</v>
      </c>
      <c r="Y105">
        <v>54</v>
      </c>
      <c r="Z105">
        <v>68</v>
      </c>
      <c r="AA105">
        <v>70</v>
      </c>
      <c r="AB105">
        <v>3500</v>
      </c>
      <c r="AC105">
        <v>3007</v>
      </c>
      <c r="AD105">
        <v>1681</v>
      </c>
      <c r="AE105">
        <v>0</v>
      </c>
      <c r="AF105">
        <v>0</v>
      </c>
      <c r="AG105">
        <v>1326</v>
      </c>
      <c r="AH105">
        <v>0</v>
      </c>
      <c r="AI105">
        <v>0</v>
      </c>
      <c r="AJ105">
        <v>0</v>
      </c>
      <c r="AK105">
        <v>696</v>
      </c>
      <c r="AL105">
        <v>0</v>
      </c>
      <c r="AM105">
        <v>448</v>
      </c>
      <c r="AN105">
        <v>0</v>
      </c>
      <c r="AO105">
        <v>0</v>
      </c>
      <c r="AP105">
        <v>8</v>
      </c>
      <c r="AQ105">
        <v>0</v>
      </c>
      <c r="AR105">
        <v>1</v>
      </c>
      <c r="AS105" t="s">
        <v>59</v>
      </c>
      <c r="AT105">
        <v>1</v>
      </c>
      <c r="AU105" t="s">
        <v>60</v>
      </c>
      <c r="AV105" t="s">
        <v>145</v>
      </c>
      <c r="AW105">
        <v>1</v>
      </c>
      <c r="AX105">
        <v>3</v>
      </c>
      <c r="AY105">
        <v>0</v>
      </c>
      <c r="AZ105">
        <v>51400</v>
      </c>
      <c r="BA105">
        <v>100</v>
      </c>
      <c r="BB105">
        <v>100</v>
      </c>
      <c r="BC105">
        <v>100</v>
      </c>
      <c r="BD105">
        <v>100</v>
      </c>
      <c r="BE105">
        <v>1</v>
      </c>
      <c r="BF105">
        <v>15000</v>
      </c>
      <c r="BG105">
        <v>1000</v>
      </c>
      <c r="BH105" s="8">
        <f>Granger_Inventory[[#This Row],[land_extract]]*Lookups!$B$3</f>
        <v>189292.82525901764</v>
      </c>
      <c r="BI105" s="8">
        <f>IF(Granger_Inventory[[#This Row],[bldg_style]]="",0,Lookups!$B$2)</f>
        <v>29703.559000000001</v>
      </c>
      <c r="BJ105" s="8">
        <f>_xlfn.IFNA(VLOOKUP(Granger_Inventory[[#This Row],[quality]],Lookups!$H$2:$J$14,3,FALSE),0)</f>
        <v>36568</v>
      </c>
      <c r="BK105" s="8">
        <f>_xlfn.IFNA(VLOOKUP(Granger_Inventory[[#This Row],[condition]],Lookups!$H$17:$J$24,3,FALSE),0)</f>
        <v>33736</v>
      </c>
      <c r="BL105" s="8">
        <f>Granger_Inventory[[#This Row],[Age]]*Lookups!$B$16</f>
        <v>-14098.514799999999</v>
      </c>
      <c r="BM105" s="8">
        <f>Granger_Inventory[[#This Row],[living_area]]*Lookups!$B$17</f>
        <v>202289.63736299999</v>
      </c>
      <c r="BN105" s="8">
        <f>(Granger_Inventory[[#This Row],[att_gar]]+Granger_Inventory[[#This Row],[blt_gar]])*Lookups!$B$18</f>
        <v>0</v>
      </c>
      <c r="BO105" s="8">
        <f>Granger_Inventory[[#This Row],[Patio]]*Lookups!$B$19</f>
        <v>24333.163008</v>
      </c>
      <c r="BP105" s="8">
        <f>SUM(Granger_Inventory[[#This Row],[Intercept]:[Patio_Value]])*Granger_Inventory[[#This Row],[res_pct]]</f>
        <v>312531.84457099997</v>
      </c>
      <c r="BQ105" s="8">
        <f>Granger_Inventory[[#This Row],[land_value]]</f>
        <v>189292.82525901764</v>
      </c>
      <c r="BR105" s="4">
        <f>_xlfn.IFNA(VLOOKUP(Granger_Inventory[[#This Row],[quality]],Lookups!$A$25:$C$35,3,FALSE),1)</f>
        <v>0.99049976351917957</v>
      </c>
      <c r="BS105" s="4">
        <f>_xlfn.IFNA(VLOOKUP(Granger_Inventory[[#This Row],[condition]],Lookups!$A$38:$C$45,3,FALSE),1)</f>
        <v>0.92294678898076177</v>
      </c>
      <c r="BT105" s="4">
        <f>IF(Granger_Inventory[[#This Row],[decade]]="",1,_xlfn.IFNA(VLOOKUP(Granger_Inventory[[#This Row],[decade]],Lookups!$G$28:$I$42,3,FALSE),1))</f>
        <v>1.0270382440255921</v>
      </c>
      <c r="BU105" s="4">
        <f>_xlfn.IFNA(VLOOKUP(Granger_Inventory[[#This Row],[living_area_range]],Lookups!$A$48:$C$57,3,FALSE),1)</f>
        <v>0.99995754169072248</v>
      </c>
      <c r="BV105" s="4">
        <f>AVERAGE(Granger_Inventory[[#This Row],[qual_adj]:[living_range_adj]])</f>
        <v>0.98511058455406397</v>
      </c>
      <c r="BW105" s="8">
        <f>(Granger_Inventory[[#This Row],[sum_land]]-IF(Granger_Inventory[[#This Row],[no_utilities]]=1,12000,0))/IF(Granger_Inventory[[#This Row],[unbuildable]]=1,2,1)</f>
        <v>189292.82525901764</v>
      </c>
      <c r="BX105" s="8">
        <f>Granger_Inventory[[#This Row],[pre_res]]*Granger_Inventory[[#This Row],[overall_adj]]</f>
        <v>307878.42809709767</v>
      </c>
      <c r="BY105">
        <f>IF(ROUND(Granger_Inventory[[#This Row],[adj_land]]*Lookups!$I$45,-2)&lt;Granger_Inventory[[#This Row],[min_land]],Granger_Inventory[[#This Row],[min_land]],ROUND(Granger_Inventory[[#This Row],[adj_land]]*Lookups!$I$45,-2))</f>
        <v>179800</v>
      </c>
      <c r="BZ105">
        <f>ROUND(Granger_Inventory[[#This Row],[detatched_value]]*Lookups!$I$45,-2)</f>
        <v>48800</v>
      </c>
      <c r="CA105">
        <f>IF(ROUND(Granger_Inventory[[#This Row],[adj_res]]*Lookups!$I$45,-2)&lt;Granger_Inventory[[#This Row],[min_res]],Granger_Inventory[[#This Row],[min_res]],ROUND(Granger_Inventory[[#This Row],[adj_res]]*Lookups!$I$45,-2))</f>
        <v>292500</v>
      </c>
      <c r="CB105">
        <f>Granger_Inventory[[#This Row],[final_det]]+Granger_Inventory[[#This Row],[final_res]]</f>
        <v>341300</v>
      </c>
      <c r="CC105">
        <f>Granger_Inventory[[#This Row],[final_land]]+Granger_Inventory[[#This Row],[final_imp]]+Granger_Inventory[[#This Row],[crop_value]]</f>
        <v>521100</v>
      </c>
      <c r="CE105" t="str">
        <f t="shared" si="1"/>
        <v>update valuation set market_land =179800, market_bldg=341300, market_total =521100, market_mdno =402, market_date ='9/10/2023' where link_id = (select link_id from parcel where parcel_year = '2024' and parcel_id = '21101622400');</v>
      </c>
    </row>
    <row r="106" spans="1:83" x14ac:dyDescent="0.25">
      <c r="A106">
        <v>21101632001</v>
      </c>
      <c r="B106">
        <v>27.69</v>
      </c>
      <c r="C106" t="s">
        <v>137</v>
      </c>
      <c r="D106" t="s">
        <v>137</v>
      </c>
      <c r="E106" t="s">
        <v>54</v>
      </c>
      <c r="F106" t="s">
        <v>54</v>
      </c>
      <c r="G106">
        <v>3</v>
      </c>
      <c r="H106" t="s">
        <v>171</v>
      </c>
      <c r="I106">
        <v>113600</v>
      </c>
      <c r="J106">
        <v>171800</v>
      </c>
      <c r="K106">
        <v>27.69</v>
      </c>
      <c r="L106">
        <f>IF(Granger_Inventory[[#This Row],[parcel_acres]]-Granger_Inventory[[#This Row],[non_valued_acres]] =0,0,LN(Granger_Inventory[[#This Row],[parcel_acres]]-Granger_Inventory[[#This Row],[non_valued_acres]]))</f>
        <v>3.3210713371828704</v>
      </c>
      <c r="M106">
        <v>0</v>
      </c>
      <c r="N106">
        <v>0</v>
      </c>
      <c r="O106">
        <v>0</v>
      </c>
      <c r="P106">
        <v>47108.068500000001</v>
      </c>
      <c r="Q106">
        <v>122298</v>
      </c>
      <c r="R106">
        <f>(Granger_Inventory[[#This Row],[ln_acres]]*Granger_Inventory[[#This Row],[coeff]])+Granger_Inventory[[#This Row],[const]]</f>
        <v>278747.25604539725</v>
      </c>
      <c r="S106" t="s">
        <v>69</v>
      </c>
      <c r="T106">
        <v>1</v>
      </c>
      <c r="U106" t="s">
        <v>78</v>
      </c>
      <c r="V106" t="s">
        <v>77</v>
      </c>
      <c r="W106">
        <v>0</v>
      </c>
      <c r="X106">
        <v>0</v>
      </c>
      <c r="Y106">
        <v>62</v>
      </c>
      <c r="Z106">
        <v>103</v>
      </c>
      <c r="AA106">
        <v>110</v>
      </c>
      <c r="AB106">
        <v>2000</v>
      </c>
      <c r="AC106">
        <v>1522</v>
      </c>
      <c r="AD106">
        <v>1522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98</v>
      </c>
      <c r="AO106">
        <v>0</v>
      </c>
      <c r="AP106">
        <v>8</v>
      </c>
      <c r="AQ106">
        <v>1</v>
      </c>
      <c r="AR106">
        <v>0</v>
      </c>
      <c r="AS106" t="s">
        <v>146</v>
      </c>
      <c r="AT106">
        <v>1</v>
      </c>
      <c r="AU106" t="s">
        <v>68</v>
      </c>
      <c r="AV106" t="s">
        <v>144</v>
      </c>
      <c r="AW106">
        <v>0</v>
      </c>
      <c r="AX106">
        <v>3</v>
      </c>
      <c r="AY106">
        <v>0</v>
      </c>
      <c r="AZ106">
        <v>0</v>
      </c>
      <c r="BA106">
        <v>100</v>
      </c>
      <c r="BB106">
        <v>100</v>
      </c>
      <c r="BC106">
        <v>100</v>
      </c>
      <c r="BD106">
        <v>100</v>
      </c>
      <c r="BE106">
        <v>1</v>
      </c>
      <c r="BF106">
        <v>15000</v>
      </c>
      <c r="BG106">
        <v>1000</v>
      </c>
      <c r="BH106" s="8">
        <f>Granger_Inventory[[#This Row],[land_extract]]*Lookups!$B$3</f>
        <v>166058.32584172935</v>
      </c>
      <c r="BI106" s="8">
        <f>IF(Granger_Inventory[[#This Row],[bldg_style]]="",0,Lookups!$B$2)</f>
        <v>29703.559000000001</v>
      </c>
      <c r="BJ106" s="8">
        <f>_xlfn.IFNA(VLOOKUP(Granger_Inventory[[#This Row],[quality]],Lookups!$H$2:$J$14,3,FALSE),0)</f>
        <v>23737.786340274597</v>
      </c>
      <c r="BK106" s="8">
        <f>_xlfn.IFNA(VLOOKUP(Granger_Inventory[[#This Row],[condition]],Lookups!$H$17:$J$24,3,FALSE),0)</f>
        <v>33736</v>
      </c>
      <c r="BL106" s="8">
        <f>Granger_Inventory[[#This Row],[Age]]*Lookups!$B$16</f>
        <v>-21355.103299999999</v>
      </c>
      <c r="BM106" s="8">
        <f>Granger_Inventory[[#This Row],[living_area]]*Lookups!$B$17</f>
        <v>102389.36749799999</v>
      </c>
      <c r="BN106" s="8">
        <f>(Granger_Inventory[[#This Row],[att_gar]]+Granger_Inventory[[#This Row],[blt_gar]])*Lookups!$B$18</f>
        <v>0</v>
      </c>
      <c r="BO106" s="8">
        <f>Granger_Inventory[[#This Row],[Patio]]*Lookups!$B$19</f>
        <v>0</v>
      </c>
      <c r="BP106" s="8">
        <f>SUM(Granger_Inventory[[#This Row],[Intercept]:[Patio_Value]])*Granger_Inventory[[#This Row],[res_pct]]</f>
        <v>168211.60953827458</v>
      </c>
      <c r="BQ106" s="8">
        <f>Granger_Inventory[[#This Row],[land_value]]</f>
        <v>166058.32584172935</v>
      </c>
      <c r="BR106" s="4">
        <f>_xlfn.IFNA(VLOOKUP(Granger_Inventory[[#This Row],[quality]],Lookups!$A$25:$C$35,3,FALSE),1)</f>
        <v>0.77695375541795109</v>
      </c>
      <c r="BS106" s="4">
        <f>_xlfn.IFNA(VLOOKUP(Granger_Inventory[[#This Row],[condition]],Lookups!$A$38:$C$45,3,FALSE),1)</f>
        <v>0.92294678898076177</v>
      </c>
      <c r="BT106" s="4">
        <f>IF(Granger_Inventory[[#This Row],[decade]]="",1,_xlfn.IFNA(VLOOKUP(Granger_Inventory[[#This Row],[decade]],Lookups!$G$28:$I$42,3,FALSE),1))</f>
        <v>0.879441629375324</v>
      </c>
      <c r="BU106" s="4">
        <f>_xlfn.IFNA(VLOOKUP(Granger_Inventory[[#This Row],[living_area_range]],Lookups!$A$48:$C$57,3,FALSE),1)</f>
        <v>0.97860968051050168</v>
      </c>
      <c r="BV106" s="4">
        <f>AVERAGE(Granger_Inventory[[#This Row],[qual_adj]:[living_range_adj]])</f>
        <v>0.88948796357113458</v>
      </c>
      <c r="BW106" s="8">
        <f>(Granger_Inventory[[#This Row],[sum_land]]-IF(Granger_Inventory[[#This Row],[no_utilities]]=1,12000,0))/IF(Granger_Inventory[[#This Row],[unbuildable]]=1,2,1)</f>
        <v>166058.32584172935</v>
      </c>
      <c r="BX106" s="8">
        <f>Granger_Inventory[[#This Row],[pre_res]]*Granger_Inventory[[#This Row],[overall_adj]]</f>
        <v>149622.20201722271</v>
      </c>
      <c r="BY106">
        <f>IF(ROUND(Granger_Inventory[[#This Row],[adj_land]]*Lookups!$I$45,-2)&lt;Granger_Inventory[[#This Row],[min_land]],Granger_Inventory[[#This Row],[min_land]],ROUND(Granger_Inventory[[#This Row],[adj_land]]*Lookups!$I$45,-2))</f>
        <v>157800</v>
      </c>
      <c r="BZ106">
        <f>ROUND(Granger_Inventory[[#This Row],[detatched_value]]*Lookups!$I$45,-2)</f>
        <v>0</v>
      </c>
      <c r="CA106">
        <f>IF(ROUND(Granger_Inventory[[#This Row],[adj_res]]*Lookups!$I$45,-2)&lt;Granger_Inventory[[#This Row],[min_res]],Granger_Inventory[[#This Row],[min_res]],ROUND(Granger_Inventory[[#This Row],[adj_res]]*Lookups!$I$45,-2))</f>
        <v>142100</v>
      </c>
      <c r="CB106">
        <f>Granger_Inventory[[#This Row],[final_det]]+Granger_Inventory[[#This Row],[final_res]]</f>
        <v>142100</v>
      </c>
      <c r="CC106">
        <f>Granger_Inventory[[#This Row],[final_land]]+Granger_Inventory[[#This Row],[final_imp]]+Granger_Inventory[[#This Row],[crop_value]]</f>
        <v>299900</v>
      </c>
      <c r="CE106" t="str">
        <f t="shared" si="1"/>
        <v>update valuation set market_land =157800, market_bldg=142100, market_total =299900, market_mdno =402, market_date ='9/10/2023' where link_id = (select link_id from parcel where parcel_year = '2024' and parcel_id = '21101632001');</v>
      </c>
    </row>
    <row r="107" spans="1:83" x14ac:dyDescent="0.25">
      <c r="A107">
        <v>21101633401</v>
      </c>
      <c r="B107">
        <v>0.42</v>
      </c>
      <c r="C107">
        <v>18161</v>
      </c>
      <c r="D107" t="s">
        <v>137</v>
      </c>
      <c r="E107" t="s">
        <v>54</v>
      </c>
      <c r="F107" t="s">
        <v>54</v>
      </c>
      <c r="G107">
        <v>3</v>
      </c>
      <c r="H107" t="s">
        <v>55</v>
      </c>
      <c r="I107">
        <v>35300</v>
      </c>
      <c r="J107">
        <v>30300</v>
      </c>
      <c r="K107">
        <v>0.42</v>
      </c>
      <c r="L107">
        <f>IF(Granger_Inventory[[#This Row],[parcel_acres]]-Granger_Inventory[[#This Row],[non_valued_acres]] =0,0,LN(Granger_Inventory[[#This Row],[parcel_acres]]-Granger_Inventory[[#This Row],[non_valued_acres]]))</f>
        <v>-0.86750056770472306</v>
      </c>
      <c r="M107">
        <v>0</v>
      </c>
      <c r="N107">
        <v>0</v>
      </c>
      <c r="O107">
        <v>0</v>
      </c>
      <c r="P107">
        <v>47108.068500000001</v>
      </c>
      <c r="Q107">
        <v>122298</v>
      </c>
      <c r="R107">
        <f>(Granger_Inventory[[#This Row],[ln_acres]]*Granger_Inventory[[#This Row],[coeff]])+Granger_Inventory[[#This Row],[const]]</f>
        <v>81431.723832777017</v>
      </c>
      <c r="S107" t="s">
        <v>69</v>
      </c>
      <c r="T107">
        <v>1</v>
      </c>
      <c r="U107" t="s">
        <v>78</v>
      </c>
      <c r="V107" t="s">
        <v>79</v>
      </c>
      <c r="W107">
        <v>0</v>
      </c>
      <c r="X107">
        <v>0</v>
      </c>
      <c r="Y107">
        <v>51</v>
      </c>
      <c r="Z107">
        <v>83</v>
      </c>
      <c r="AA107">
        <v>90</v>
      </c>
      <c r="AB107">
        <v>1000</v>
      </c>
      <c r="AC107">
        <v>768</v>
      </c>
      <c r="AD107">
        <v>768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144</v>
      </c>
      <c r="AN107">
        <v>0</v>
      </c>
      <c r="AO107">
        <v>144</v>
      </c>
      <c r="AP107">
        <v>5</v>
      </c>
      <c r="AQ107">
        <v>0</v>
      </c>
      <c r="AR107">
        <v>0</v>
      </c>
      <c r="AS107" t="s">
        <v>59</v>
      </c>
      <c r="AT107">
        <v>1</v>
      </c>
      <c r="AU107" t="s">
        <v>68</v>
      </c>
      <c r="AV107" t="s">
        <v>65</v>
      </c>
      <c r="AW107">
        <v>0</v>
      </c>
      <c r="AX107">
        <v>2</v>
      </c>
      <c r="AY107">
        <v>0</v>
      </c>
      <c r="AZ107">
        <v>0</v>
      </c>
      <c r="BA107">
        <v>100</v>
      </c>
      <c r="BB107">
        <v>100</v>
      </c>
      <c r="BC107">
        <v>100</v>
      </c>
      <c r="BD107">
        <v>100</v>
      </c>
      <c r="BE107">
        <v>1</v>
      </c>
      <c r="BF107">
        <v>15000</v>
      </c>
      <c r="BG107">
        <v>1000</v>
      </c>
      <c r="BH107" s="8">
        <f>Granger_Inventory[[#This Row],[land_extract]]*Lookups!$B$3</f>
        <v>48511.385984279317</v>
      </c>
      <c r="BI107" s="8">
        <f>IF(Granger_Inventory[[#This Row],[bldg_style]]="",0,Lookups!$B$2)</f>
        <v>29703.559000000001</v>
      </c>
      <c r="BJ107" s="8">
        <f>_xlfn.IFNA(VLOOKUP(Granger_Inventory[[#This Row],[quality]],Lookups!$H$2:$J$14,3,FALSE),0)</f>
        <v>23737.786340274597</v>
      </c>
      <c r="BK107" s="8">
        <f>_xlfn.IFNA(VLOOKUP(Granger_Inventory[[#This Row],[condition]],Lookups!$H$17:$J$24,3,FALSE),0)</f>
        <v>86727</v>
      </c>
      <c r="BL107" s="8">
        <f>Granger_Inventory[[#This Row],[Age]]*Lookups!$B$16</f>
        <v>-17208.481299999999</v>
      </c>
      <c r="BM107" s="8">
        <f>Granger_Inventory[[#This Row],[living_area]]*Lookups!$B$17</f>
        <v>51665.594111999999</v>
      </c>
      <c r="BN107" s="8">
        <f>(Granger_Inventory[[#This Row],[att_gar]]+Granger_Inventory[[#This Row],[blt_gar]])*Lookups!$B$18</f>
        <v>0</v>
      </c>
      <c r="BO107" s="8">
        <f>Granger_Inventory[[#This Row],[Patio]]*Lookups!$B$19</f>
        <v>7821.3738239999993</v>
      </c>
      <c r="BP107" s="8">
        <f>SUM(Granger_Inventory[[#This Row],[Intercept]:[Patio_Value]])*Granger_Inventory[[#This Row],[res_pct]]</f>
        <v>182446.83197627461</v>
      </c>
      <c r="BQ107" s="8">
        <f>Granger_Inventory[[#This Row],[land_value]]</f>
        <v>48511.385984279317</v>
      </c>
      <c r="BR107" s="4">
        <f>_xlfn.IFNA(VLOOKUP(Granger_Inventory[[#This Row],[quality]],Lookups!$A$25:$C$35,3,FALSE),1)</f>
        <v>0.77695375541795109</v>
      </c>
      <c r="BS107" s="4">
        <f>_xlfn.IFNA(VLOOKUP(Granger_Inventory[[#This Row],[condition]],Lookups!$A$38:$C$45,3,FALSE),1)</f>
        <v>0.85322907131620684</v>
      </c>
      <c r="BT107" s="4">
        <f>IF(Granger_Inventory[[#This Row],[decade]]="",1,_xlfn.IFNA(VLOOKUP(Granger_Inventory[[#This Row],[decade]],Lookups!$G$28:$I$42,3,FALSE),1))</f>
        <v>0.95234610137492615</v>
      </c>
      <c r="BU107" s="4">
        <f>_xlfn.IFNA(VLOOKUP(Granger_Inventory[[#This Row],[living_area_range]],Lookups!$A$48:$C$57,3,FALSE),1)</f>
        <v>0.81272404900450645</v>
      </c>
      <c r="BV107" s="4">
        <f>AVERAGE(Granger_Inventory[[#This Row],[qual_adj]:[living_range_adj]])</f>
        <v>0.84881324427839766</v>
      </c>
      <c r="BW107" s="8">
        <f>(Granger_Inventory[[#This Row],[sum_land]]-IF(Granger_Inventory[[#This Row],[no_utilities]]=1,12000,0))/IF(Granger_Inventory[[#This Row],[unbuildable]]=1,2,1)</f>
        <v>48511.385984279317</v>
      </c>
      <c r="BX107" s="8">
        <f>Granger_Inventory[[#This Row],[pre_res]]*Granger_Inventory[[#This Row],[overall_adj]]</f>
        <v>154863.28735809735</v>
      </c>
      <c r="BY107">
        <f>IF(ROUND(Granger_Inventory[[#This Row],[adj_land]]*Lookups!$I$45,-2)&lt;Granger_Inventory[[#This Row],[min_land]],Granger_Inventory[[#This Row],[min_land]],ROUND(Granger_Inventory[[#This Row],[adj_land]]*Lookups!$I$45,-2))</f>
        <v>46100</v>
      </c>
      <c r="BZ107">
        <f>ROUND(Granger_Inventory[[#This Row],[detatched_value]]*Lookups!$I$45,-2)</f>
        <v>0</v>
      </c>
      <c r="CA107">
        <f>IF(ROUND(Granger_Inventory[[#This Row],[adj_res]]*Lookups!$I$45,-2)&lt;Granger_Inventory[[#This Row],[min_res]],Granger_Inventory[[#This Row],[min_res]],ROUND(Granger_Inventory[[#This Row],[adj_res]]*Lookups!$I$45,-2))</f>
        <v>147100</v>
      </c>
      <c r="CB107">
        <f>Granger_Inventory[[#This Row],[final_det]]+Granger_Inventory[[#This Row],[final_res]]</f>
        <v>147100</v>
      </c>
      <c r="CC107">
        <f>Granger_Inventory[[#This Row],[final_land]]+Granger_Inventory[[#This Row],[final_imp]]+Granger_Inventory[[#This Row],[crop_value]]</f>
        <v>193200</v>
      </c>
      <c r="CE107" t="str">
        <f t="shared" si="1"/>
        <v>update valuation set market_land =46100, market_bldg=147100, market_total =193200, market_mdno =402, market_date ='9/10/2023' where link_id = (select link_id from parcel where parcel_year = '2024' and parcel_id = '21101633401');</v>
      </c>
    </row>
    <row r="108" spans="1:83" x14ac:dyDescent="0.25">
      <c r="A108">
        <v>21101633402</v>
      </c>
      <c r="B108">
        <v>0.39</v>
      </c>
      <c r="C108">
        <v>16854</v>
      </c>
      <c r="D108" t="s">
        <v>137</v>
      </c>
      <c r="E108" t="s">
        <v>54</v>
      </c>
      <c r="F108" t="s">
        <v>54</v>
      </c>
      <c r="G108">
        <v>3</v>
      </c>
      <c r="H108" t="s">
        <v>55</v>
      </c>
      <c r="I108">
        <v>97000</v>
      </c>
      <c r="J108">
        <v>29900</v>
      </c>
      <c r="K108">
        <v>0.39</v>
      </c>
      <c r="L108">
        <f>IF(Granger_Inventory[[#This Row],[parcel_acres]]-Granger_Inventory[[#This Row],[non_valued_acres]] =0,0,LN(Granger_Inventory[[#This Row],[parcel_acres]]-Granger_Inventory[[#This Row],[non_valued_acres]]))</f>
        <v>-0.94160853985844495</v>
      </c>
      <c r="M108">
        <v>0</v>
      </c>
      <c r="N108">
        <v>0</v>
      </c>
      <c r="O108">
        <v>0</v>
      </c>
      <c r="P108">
        <v>47108.068500000001</v>
      </c>
      <c r="Q108">
        <v>122298</v>
      </c>
      <c r="R108">
        <f>(Granger_Inventory[[#This Row],[ln_acres]]*Granger_Inventory[[#This Row],[coeff]])+Granger_Inventory[[#This Row],[const]]</f>
        <v>77940.640404163394</v>
      </c>
      <c r="S108" t="s">
        <v>62</v>
      </c>
      <c r="T108">
        <v>2</v>
      </c>
      <c r="U108" t="s">
        <v>78</v>
      </c>
      <c r="V108" t="s">
        <v>77</v>
      </c>
      <c r="W108">
        <v>0</v>
      </c>
      <c r="X108">
        <v>0</v>
      </c>
      <c r="Y108">
        <v>50</v>
      </c>
      <c r="Z108">
        <v>75</v>
      </c>
      <c r="AA108">
        <v>80</v>
      </c>
      <c r="AB108">
        <v>1000</v>
      </c>
      <c r="AC108">
        <v>882</v>
      </c>
      <c r="AD108">
        <v>750</v>
      </c>
      <c r="AE108">
        <v>132</v>
      </c>
      <c r="AF108">
        <v>0</v>
      </c>
      <c r="AG108">
        <v>0</v>
      </c>
      <c r="AH108">
        <v>200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54</v>
      </c>
      <c r="AO108">
        <v>0</v>
      </c>
      <c r="AP108">
        <v>5</v>
      </c>
      <c r="AQ108">
        <v>0</v>
      </c>
      <c r="AR108">
        <v>0</v>
      </c>
      <c r="AS108" t="s">
        <v>59</v>
      </c>
      <c r="AT108">
        <v>1</v>
      </c>
      <c r="AU108" t="s">
        <v>76</v>
      </c>
      <c r="AV108" t="s">
        <v>61</v>
      </c>
      <c r="AW108">
        <v>0</v>
      </c>
      <c r="AX108">
        <v>4</v>
      </c>
      <c r="AY108">
        <v>0</v>
      </c>
      <c r="AZ108">
        <v>0</v>
      </c>
      <c r="BA108">
        <v>100</v>
      </c>
      <c r="BB108">
        <v>100</v>
      </c>
      <c r="BC108">
        <v>100</v>
      </c>
      <c r="BD108">
        <v>100</v>
      </c>
      <c r="BE108">
        <v>1</v>
      </c>
      <c r="BF108">
        <v>15000</v>
      </c>
      <c r="BG108">
        <v>1000</v>
      </c>
      <c r="BH108" s="8">
        <f>Granger_Inventory[[#This Row],[land_extract]]*Lookups!$B$3</f>
        <v>46431.640060484584</v>
      </c>
      <c r="BI108" s="8">
        <f>IF(Granger_Inventory[[#This Row],[bldg_style]]="",0,Lookups!$B$2)</f>
        <v>29703.559000000001</v>
      </c>
      <c r="BJ108" s="8">
        <f>_xlfn.IFNA(VLOOKUP(Granger_Inventory[[#This Row],[quality]],Lookups!$H$2:$J$14,3,FALSE),0)</f>
        <v>23737.786340274597</v>
      </c>
      <c r="BK108" s="8">
        <f>_xlfn.IFNA(VLOOKUP(Granger_Inventory[[#This Row],[condition]],Lookups!$H$17:$J$24,3,FALSE),0)</f>
        <v>33736</v>
      </c>
      <c r="BL108" s="8">
        <f>Granger_Inventory[[#This Row],[Age]]*Lookups!$B$16</f>
        <v>-15549.832499999999</v>
      </c>
      <c r="BM108" s="8">
        <f>Granger_Inventory[[#This Row],[living_area]]*Lookups!$B$17</f>
        <v>59334.705737999997</v>
      </c>
      <c r="BN108" s="8">
        <f>(Granger_Inventory[[#This Row],[att_gar]]+Granger_Inventory[[#This Row],[blt_gar]])*Lookups!$B$18</f>
        <v>0</v>
      </c>
      <c r="BO108" s="8">
        <f>Granger_Inventory[[#This Row],[Patio]]*Lookups!$B$19</f>
        <v>0</v>
      </c>
      <c r="BP108" s="8">
        <f>SUM(Granger_Inventory[[#This Row],[Intercept]:[Patio_Value]])*Granger_Inventory[[#This Row],[res_pct]]</f>
        <v>130962.21857827459</v>
      </c>
      <c r="BQ108" s="8">
        <f>Granger_Inventory[[#This Row],[land_value]]</f>
        <v>46431.640060484584</v>
      </c>
      <c r="BR108" s="4">
        <f>_xlfn.IFNA(VLOOKUP(Granger_Inventory[[#This Row],[quality]],Lookups!$A$25:$C$35,3,FALSE),1)</f>
        <v>0.77695375541795109</v>
      </c>
      <c r="BS108" s="4">
        <f>_xlfn.IFNA(VLOOKUP(Granger_Inventory[[#This Row],[condition]],Lookups!$A$38:$C$45,3,FALSE),1)</f>
        <v>0.92294678898076177</v>
      </c>
      <c r="BT108" s="4">
        <f>IF(Granger_Inventory[[#This Row],[decade]]="",1,_xlfn.IFNA(VLOOKUP(Granger_Inventory[[#This Row],[decade]],Lookups!$G$28:$I$42,3,FALSE),1))</f>
        <v>0.76006056002554967</v>
      </c>
      <c r="BU108" s="4">
        <f>_xlfn.IFNA(VLOOKUP(Granger_Inventory[[#This Row],[living_area_range]],Lookups!$A$48:$C$57,3,FALSE),1)</f>
        <v>0.81272404900450645</v>
      </c>
      <c r="BV108" s="4">
        <f>AVERAGE(Granger_Inventory[[#This Row],[qual_adj]:[living_range_adj]])</f>
        <v>0.81817128835719222</v>
      </c>
      <c r="BW108" s="8">
        <f>(Granger_Inventory[[#This Row],[sum_land]]-IF(Granger_Inventory[[#This Row],[no_utilities]]=1,12000,0))/IF(Granger_Inventory[[#This Row],[unbuildable]]=1,2,1)</f>
        <v>46431.640060484584</v>
      </c>
      <c r="BX108" s="8">
        <f>Granger_Inventory[[#This Row],[pre_res]]*Granger_Inventory[[#This Row],[overall_adj]]</f>
        <v>107149.52710030314</v>
      </c>
      <c r="BY108">
        <f>IF(ROUND(Granger_Inventory[[#This Row],[adj_land]]*Lookups!$I$45,-2)&lt;Granger_Inventory[[#This Row],[min_land]],Granger_Inventory[[#This Row],[min_land]],ROUND(Granger_Inventory[[#This Row],[adj_land]]*Lookups!$I$45,-2))</f>
        <v>44100</v>
      </c>
      <c r="BZ108">
        <f>ROUND(Granger_Inventory[[#This Row],[detatched_value]]*Lookups!$I$45,-2)</f>
        <v>0</v>
      </c>
      <c r="CA108">
        <f>IF(ROUND(Granger_Inventory[[#This Row],[adj_res]]*Lookups!$I$45,-2)&lt;Granger_Inventory[[#This Row],[min_res]],Granger_Inventory[[#This Row],[min_res]],ROUND(Granger_Inventory[[#This Row],[adj_res]]*Lookups!$I$45,-2))</f>
        <v>101800</v>
      </c>
      <c r="CB108">
        <f>Granger_Inventory[[#This Row],[final_det]]+Granger_Inventory[[#This Row],[final_res]]</f>
        <v>101800</v>
      </c>
      <c r="CC108">
        <f>Granger_Inventory[[#This Row],[final_land]]+Granger_Inventory[[#This Row],[final_imp]]+Granger_Inventory[[#This Row],[crop_value]]</f>
        <v>145900</v>
      </c>
      <c r="CE108" t="str">
        <f t="shared" si="1"/>
        <v>update valuation set market_land =44100, market_bldg=101800, market_total =145900, market_mdno =402, market_date ='9/10/2023' where link_id = (select link_id from parcel where parcel_year = '2024' and parcel_id = '21101633402');</v>
      </c>
    </row>
    <row r="109" spans="1:83" x14ac:dyDescent="0.25">
      <c r="A109">
        <v>21101633403</v>
      </c>
      <c r="B109">
        <v>0.4</v>
      </c>
      <c r="C109">
        <v>17529</v>
      </c>
      <c r="D109" t="s">
        <v>137</v>
      </c>
      <c r="E109" t="s">
        <v>54</v>
      </c>
      <c r="F109" t="s">
        <v>54</v>
      </c>
      <c r="G109">
        <v>3</v>
      </c>
      <c r="H109" t="s">
        <v>55</v>
      </c>
      <c r="I109">
        <v>54000</v>
      </c>
      <c r="J109">
        <v>30100</v>
      </c>
      <c r="K109">
        <v>0.4</v>
      </c>
      <c r="L109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109">
        <v>0</v>
      </c>
      <c r="N109">
        <v>0</v>
      </c>
      <c r="O109">
        <v>0</v>
      </c>
      <c r="P109">
        <v>47108.068500000001</v>
      </c>
      <c r="Q109">
        <v>122298</v>
      </c>
      <c r="R109">
        <f>(Granger_Inventory[[#This Row],[ln_acres]]*Granger_Inventory[[#This Row],[coeff]])+Granger_Inventory[[#This Row],[const]]</f>
        <v>79133.313436957164</v>
      </c>
      <c r="S109" t="s">
        <v>69</v>
      </c>
      <c r="T109">
        <v>1</v>
      </c>
      <c r="U109" t="s">
        <v>78</v>
      </c>
      <c r="V109" t="s">
        <v>77</v>
      </c>
      <c r="W109">
        <v>0</v>
      </c>
      <c r="X109">
        <v>0</v>
      </c>
      <c r="Y109">
        <v>51</v>
      </c>
      <c r="Z109">
        <v>78</v>
      </c>
      <c r="AA109">
        <v>80</v>
      </c>
      <c r="AB109">
        <v>1000</v>
      </c>
      <c r="AC109">
        <v>802</v>
      </c>
      <c r="AD109">
        <v>802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5</v>
      </c>
      <c r="AQ109">
        <v>0</v>
      </c>
      <c r="AR109">
        <v>0</v>
      </c>
      <c r="AS109" t="s">
        <v>59</v>
      </c>
      <c r="AT109">
        <v>1</v>
      </c>
      <c r="AU109" t="s">
        <v>76</v>
      </c>
      <c r="AV109" t="s">
        <v>61</v>
      </c>
      <c r="AW109">
        <v>0</v>
      </c>
      <c r="AX109">
        <v>2</v>
      </c>
      <c r="AY109">
        <v>0</v>
      </c>
      <c r="AZ109">
        <v>6500</v>
      </c>
      <c r="BA109">
        <v>100</v>
      </c>
      <c r="BB109">
        <v>100</v>
      </c>
      <c r="BC109">
        <v>100</v>
      </c>
      <c r="BD109">
        <v>100</v>
      </c>
      <c r="BE109">
        <v>1</v>
      </c>
      <c r="BF109">
        <v>15000</v>
      </c>
      <c r="BG109">
        <v>1000</v>
      </c>
      <c r="BH109" s="8">
        <f>Granger_Inventory[[#This Row],[land_extract]]*Lookups!$B$3</f>
        <v>47142.152120449238</v>
      </c>
      <c r="BI109" s="8">
        <f>IF(Granger_Inventory[[#This Row],[bldg_style]]="",0,Lookups!$B$2)</f>
        <v>29703.559000000001</v>
      </c>
      <c r="BJ109" s="8">
        <f>_xlfn.IFNA(VLOOKUP(Granger_Inventory[[#This Row],[quality]],Lookups!$H$2:$J$14,3,FALSE),0)</f>
        <v>23737.786340274597</v>
      </c>
      <c r="BK109" s="8">
        <f>_xlfn.IFNA(VLOOKUP(Granger_Inventory[[#This Row],[condition]],Lookups!$H$17:$J$24,3,FALSE),0)</f>
        <v>33736</v>
      </c>
      <c r="BL109" s="8">
        <f>Granger_Inventory[[#This Row],[Age]]*Lookups!$B$16</f>
        <v>-16171.825799999999</v>
      </c>
      <c r="BM109" s="8">
        <f>Granger_Inventory[[#This Row],[living_area]]*Lookups!$B$17</f>
        <v>53952.873017999998</v>
      </c>
      <c r="BN109" s="8">
        <f>(Granger_Inventory[[#This Row],[att_gar]]+Granger_Inventory[[#This Row],[blt_gar]])*Lookups!$B$18</f>
        <v>0</v>
      </c>
      <c r="BO109" s="8">
        <f>Granger_Inventory[[#This Row],[Patio]]*Lookups!$B$19</f>
        <v>0</v>
      </c>
      <c r="BP109" s="8">
        <f>SUM(Granger_Inventory[[#This Row],[Intercept]:[Patio_Value]])*Granger_Inventory[[#This Row],[res_pct]]</f>
        <v>124958.3925582746</v>
      </c>
      <c r="BQ109" s="8">
        <f>Granger_Inventory[[#This Row],[land_value]]</f>
        <v>47142.152120449238</v>
      </c>
      <c r="BR109" s="4">
        <f>_xlfn.IFNA(VLOOKUP(Granger_Inventory[[#This Row],[quality]],Lookups!$A$25:$C$35,3,FALSE),1)</f>
        <v>0.77695375541795109</v>
      </c>
      <c r="BS109" s="4">
        <f>_xlfn.IFNA(VLOOKUP(Granger_Inventory[[#This Row],[condition]],Lookups!$A$38:$C$45,3,FALSE),1)</f>
        <v>0.92294678898076177</v>
      </c>
      <c r="BT109" s="4">
        <f>IF(Granger_Inventory[[#This Row],[decade]]="",1,_xlfn.IFNA(VLOOKUP(Granger_Inventory[[#This Row],[decade]],Lookups!$G$28:$I$42,3,FALSE),1))</f>
        <v>0.76006056002554967</v>
      </c>
      <c r="BU109" s="4">
        <f>_xlfn.IFNA(VLOOKUP(Granger_Inventory[[#This Row],[living_area_range]],Lookups!$A$48:$C$57,3,FALSE),1)</f>
        <v>0.81272404900450645</v>
      </c>
      <c r="BV109" s="4">
        <f>AVERAGE(Granger_Inventory[[#This Row],[qual_adj]:[living_range_adj]])</f>
        <v>0.81817128835719222</v>
      </c>
      <c r="BW109" s="8">
        <f>(Granger_Inventory[[#This Row],[sum_land]]-IF(Granger_Inventory[[#This Row],[no_utilities]]=1,12000,0))/IF(Granger_Inventory[[#This Row],[unbuildable]]=1,2,1)</f>
        <v>47142.152120449238</v>
      </c>
      <c r="BX109" s="8">
        <f>Granger_Inventory[[#This Row],[pre_res]]*Granger_Inventory[[#This Row],[overall_adj]]</f>
        <v>102237.36903044731</v>
      </c>
      <c r="BY109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109">
        <f>ROUND(Granger_Inventory[[#This Row],[detatched_value]]*Lookups!$I$45,-2)</f>
        <v>6200</v>
      </c>
      <c r="CA109">
        <f>IF(ROUND(Granger_Inventory[[#This Row],[adj_res]]*Lookups!$I$45,-2)&lt;Granger_Inventory[[#This Row],[min_res]],Granger_Inventory[[#This Row],[min_res]],ROUND(Granger_Inventory[[#This Row],[adj_res]]*Lookups!$I$45,-2))</f>
        <v>97100</v>
      </c>
      <c r="CB109">
        <f>Granger_Inventory[[#This Row],[final_det]]+Granger_Inventory[[#This Row],[final_res]]</f>
        <v>103300</v>
      </c>
      <c r="CC109">
        <f>Granger_Inventory[[#This Row],[final_land]]+Granger_Inventory[[#This Row],[final_imp]]+Granger_Inventory[[#This Row],[crop_value]]</f>
        <v>148100</v>
      </c>
      <c r="CE109" t="str">
        <f t="shared" si="1"/>
        <v>update valuation set market_land =44800, market_bldg=103300, market_total =148100, market_mdno =402, market_date ='9/10/2023' where link_id = (select link_id from parcel where parcel_year = '2024' and parcel_id = '21101633403');</v>
      </c>
    </row>
    <row r="110" spans="1:83" x14ac:dyDescent="0.25">
      <c r="A110">
        <v>21101633404</v>
      </c>
      <c r="B110">
        <v>0.35</v>
      </c>
      <c r="C110">
        <v>15306</v>
      </c>
      <c r="D110" t="s">
        <v>137</v>
      </c>
      <c r="E110" t="s">
        <v>54</v>
      </c>
      <c r="F110" t="s">
        <v>54</v>
      </c>
      <c r="G110">
        <v>3</v>
      </c>
      <c r="H110" t="s">
        <v>55</v>
      </c>
      <c r="I110">
        <v>59600</v>
      </c>
      <c r="J110">
        <v>29300</v>
      </c>
      <c r="K110">
        <v>0.35</v>
      </c>
      <c r="L110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110">
        <v>0</v>
      </c>
      <c r="N110">
        <v>0</v>
      </c>
      <c r="O110">
        <v>0</v>
      </c>
      <c r="P110">
        <v>47108.068500000001</v>
      </c>
      <c r="Q110">
        <v>122298</v>
      </c>
      <c r="R110">
        <f>(Granger_Inventory[[#This Row],[ln_acres]]*Granger_Inventory[[#This Row],[coeff]])+Granger_Inventory[[#This Row],[const]]</f>
        <v>72842.907446300756</v>
      </c>
      <c r="S110" t="s">
        <v>69</v>
      </c>
      <c r="T110">
        <v>1</v>
      </c>
      <c r="U110" t="s">
        <v>78</v>
      </c>
      <c r="V110" t="s">
        <v>77</v>
      </c>
      <c r="W110">
        <v>0</v>
      </c>
      <c r="X110">
        <v>0</v>
      </c>
      <c r="Y110">
        <v>51</v>
      </c>
      <c r="Z110">
        <v>78</v>
      </c>
      <c r="AA110">
        <v>80</v>
      </c>
      <c r="AB110">
        <v>1000</v>
      </c>
      <c r="AC110">
        <v>950</v>
      </c>
      <c r="AD110">
        <v>950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481</v>
      </c>
      <c r="AL110">
        <v>0</v>
      </c>
      <c r="AM110">
        <v>0</v>
      </c>
      <c r="AN110">
        <v>0</v>
      </c>
      <c r="AO110">
        <v>96</v>
      </c>
      <c r="AP110">
        <v>5</v>
      </c>
      <c r="AQ110">
        <v>0</v>
      </c>
      <c r="AR110">
        <v>0</v>
      </c>
      <c r="AS110" t="s">
        <v>59</v>
      </c>
      <c r="AT110">
        <v>1</v>
      </c>
      <c r="AU110" t="s">
        <v>76</v>
      </c>
      <c r="AV110" t="s">
        <v>65</v>
      </c>
      <c r="AW110">
        <v>0</v>
      </c>
      <c r="AX110">
        <v>2</v>
      </c>
      <c r="AY110">
        <v>0</v>
      </c>
      <c r="AZ110">
        <v>2400</v>
      </c>
      <c r="BA110">
        <v>100</v>
      </c>
      <c r="BB110">
        <v>100</v>
      </c>
      <c r="BC110">
        <v>100</v>
      </c>
      <c r="BD110">
        <v>100</v>
      </c>
      <c r="BE110">
        <v>1</v>
      </c>
      <c r="BF110">
        <v>15000</v>
      </c>
      <c r="BG110">
        <v>1000</v>
      </c>
      <c r="BH110" s="8">
        <f>Granger_Inventory[[#This Row],[land_extract]]*Lookups!$B$3</f>
        <v>43394.763527310708</v>
      </c>
      <c r="BI110" s="8">
        <f>IF(Granger_Inventory[[#This Row],[bldg_style]]="",0,Lookups!$B$2)</f>
        <v>29703.559000000001</v>
      </c>
      <c r="BJ110" s="8">
        <f>_xlfn.IFNA(VLOOKUP(Granger_Inventory[[#This Row],[quality]],Lookups!$H$2:$J$14,3,FALSE),0)</f>
        <v>23737.786340274597</v>
      </c>
      <c r="BK110" s="8">
        <f>_xlfn.IFNA(VLOOKUP(Granger_Inventory[[#This Row],[condition]],Lookups!$H$17:$J$24,3,FALSE),0)</f>
        <v>33736</v>
      </c>
      <c r="BL110" s="8">
        <f>Granger_Inventory[[#This Row],[Age]]*Lookups!$B$16</f>
        <v>-16171.825799999999</v>
      </c>
      <c r="BM110" s="8">
        <f>Granger_Inventory[[#This Row],[living_area]]*Lookups!$B$17</f>
        <v>63909.263549999996</v>
      </c>
      <c r="BN110" s="8">
        <f>(Granger_Inventory[[#This Row],[att_gar]]+Granger_Inventory[[#This Row],[blt_gar]])*Lookups!$B$18</f>
        <v>0</v>
      </c>
      <c r="BO110" s="8">
        <f>Granger_Inventory[[#This Row],[Patio]]*Lookups!$B$19</f>
        <v>0</v>
      </c>
      <c r="BP110" s="8">
        <f>SUM(Granger_Inventory[[#This Row],[Intercept]:[Patio_Value]])*Granger_Inventory[[#This Row],[res_pct]]</f>
        <v>134914.78309027461</v>
      </c>
      <c r="BQ110" s="8">
        <f>Granger_Inventory[[#This Row],[land_value]]</f>
        <v>43394.763527310708</v>
      </c>
      <c r="BR110" s="4">
        <f>_xlfn.IFNA(VLOOKUP(Granger_Inventory[[#This Row],[quality]],Lookups!$A$25:$C$35,3,FALSE),1)</f>
        <v>0.77695375541795109</v>
      </c>
      <c r="BS110" s="4">
        <f>_xlfn.IFNA(VLOOKUP(Granger_Inventory[[#This Row],[condition]],Lookups!$A$38:$C$45,3,FALSE),1)</f>
        <v>0.92294678898076177</v>
      </c>
      <c r="BT110" s="4">
        <f>IF(Granger_Inventory[[#This Row],[decade]]="",1,_xlfn.IFNA(VLOOKUP(Granger_Inventory[[#This Row],[decade]],Lookups!$G$28:$I$42,3,FALSE),1))</f>
        <v>0.76006056002554967</v>
      </c>
      <c r="BU110" s="4">
        <f>_xlfn.IFNA(VLOOKUP(Granger_Inventory[[#This Row],[living_area_range]],Lookups!$A$48:$C$57,3,FALSE),1)</f>
        <v>0.81272404900450645</v>
      </c>
      <c r="BV110" s="4">
        <f>AVERAGE(Granger_Inventory[[#This Row],[qual_adj]:[living_range_adj]])</f>
        <v>0.81817128835719222</v>
      </c>
      <c r="BW110" s="8">
        <f>(Granger_Inventory[[#This Row],[sum_land]]-IF(Granger_Inventory[[#This Row],[no_utilities]]=1,12000,0))/IF(Granger_Inventory[[#This Row],[unbuildable]]=1,2,1)</f>
        <v>43394.763527310708</v>
      </c>
      <c r="BX110" s="8">
        <f>Granger_Inventory[[#This Row],[pre_res]]*Granger_Inventory[[#This Row],[overall_adj]]</f>
        <v>110383.4018994011</v>
      </c>
      <c r="BY110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110">
        <f>ROUND(Granger_Inventory[[#This Row],[detatched_value]]*Lookups!$I$45,-2)</f>
        <v>2300</v>
      </c>
      <c r="CA110">
        <f>IF(ROUND(Granger_Inventory[[#This Row],[adj_res]]*Lookups!$I$45,-2)&lt;Granger_Inventory[[#This Row],[min_res]],Granger_Inventory[[#This Row],[min_res]],ROUND(Granger_Inventory[[#This Row],[adj_res]]*Lookups!$I$45,-2))</f>
        <v>104900</v>
      </c>
      <c r="CB110">
        <f>Granger_Inventory[[#This Row],[final_det]]+Granger_Inventory[[#This Row],[final_res]]</f>
        <v>107200</v>
      </c>
      <c r="CC110">
        <f>Granger_Inventory[[#This Row],[final_land]]+Granger_Inventory[[#This Row],[final_imp]]+Granger_Inventory[[#This Row],[crop_value]]</f>
        <v>148400</v>
      </c>
      <c r="CE110" t="str">
        <f t="shared" si="1"/>
        <v>update valuation set market_land =41200, market_bldg=107200, market_total =148400, market_mdno =402, market_date ='9/10/2023' where link_id = (select link_id from parcel where parcel_year = '2024' and parcel_id = '21101633404');</v>
      </c>
    </row>
    <row r="111" spans="1:83" x14ac:dyDescent="0.25">
      <c r="A111">
        <v>21101633405</v>
      </c>
      <c r="B111">
        <v>0.72</v>
      </c>
      <c r="C111">
        <v>31556</v>
      </c>
      <c r="D111" t="s">
        <v>137</v>
      </c>
      <c r="E111" t="s">
        <v>54</v>
      </c>
      <c r="F111" t="s">
        <v>54</v>
      </c>
      <c r="G111">
        <v>3</v>
      </c>
      <c r="H111" t="s">
        <v>55</v>
      </c>
      <c r="I111">
        <v>58000</v>
      </c>
      <c r="J111">
        <v>33300</v>
      </c>
      <c r="K111">
        <v>0.72</v>
      </c>
      <c r="L111">
        <f>IF(Granger_Inventory[[#This Row],[parcel_acres]]-Granger_Inventory[[#This Row],[non_valued_acres]] =0,0,LN(Granger_Inventory[[#This Row],[parcel_acres]]-Granger_Inventory[[#This Row],[non_valued_acres]]))</f>
        <v>-0.3285040669720361</v>
      </c>
      <c r="M111">
        <v>0</v>
      </c>
      <c r="N111">
        <v>0</v>
      </c>
      <c r="O111">
        <v>0</v>
      </c>
      <c r="P111">
        <v>47108.068500000001</v>
      </c>
      <c r="Q111">
        <v>122298</v>
      </c>
      <c r="R111">
        <f>(Granger_Inventory[[#This Row],[ln_acres]]*Granger_Inventory[[#This Row],[coeff]])+Granger_Inventory[[#This Row],[const]]</f>
        <v>106822.80791055274</v>
      </c>
      <c r="S111" t="s">
        <v>69</v>
      </c>
      <c r="T111">
        <v>1</v>
      </c>
      <c r="U111" t="s">
        <v>78</v>
      </c>
      <c r="V111" t="s">
        <v>77</v>
      </c>
      <c r="W111">
        <v>0</v>
      </c>
      <c r="X111">
        <v>0</v>
      </c>
      <c r="Y111">
        <v>51</v>
      </c>
      <c r="Z111">
        <v>78</v>
      </c>
      <c r="AA111">
        <v>80</v>
      </c>
      <c r="AB111">
        <v>1000</v>
      </c>
      <c r="AC111">
        <v>957</v>
      </c>
      <c r="AD111">
        <v>957</v>
      </c>
      <c r="AE111">
        <v>0</v>
      </c>
      <c r="AF111">
        <v>0</v>
      </c>
      <c r="AG111">
        <v>0</v>
      </c>
      <c r="AH111">
        <v>957</v>
      </c>
      <c r="AI111">
        <v>0</v>
      </c>
      <c r="AJ111">
        <v>0</v>
      </c>
      <c r="AK111">
        <v>384</v>
      </c>
      <c r="AL111">
        <v>0</v>
      </c>
      <c r="AM111">
        <v>0</v>
      </c>
      <c r="AN111">
        <v>75</v>
      </c>
      <c r="AO111">
        <v>0</v>
      </c>
      <c r="AP111">
        <v>5</v>
      </c>
      <c r="AQ111">
        <v>0</v>
      </c>
      <c r="AR111">
        <v>0</v>
      </c>
      <c r="AS111" t="s">
        <v>59</v>
      </c>
      <c r="AT111">
        <v>1</v>
      </c>
      <c r="AU111" t="s">
        <v>76</v>
      </c>
      <c r="AV111" t="s">
        <v>65</v>
      </c>
      <c r="AW111">
        <v>0</v>
      </c>
      <c r="AX111">
        <v>2</v>
      </c>
      <c r="AY111">
        <v>0</v>
      </c>
      <c r="AZ111">
        <v>0</v>
      </c>
      <c r="BA111">
        <v>100</v>
      </c>
      <c r="BB111">
        <v>100</v>
      </c>
      <c r="BC111">
        <v>100</v>
      </c>
      <c r="BD111">
        <v>100</v>
      </c>
      <c r="BE111">
        <v>1</v>
      </c>
      <c r="BF111">
        <v>15000</v>
      </c>
      <c r="BG111">
        <v>1000</v>
      </c>
      <c r="BH111" s="8">
        <f>Granger_Inventory[[#This Row],[land_extract]]*Lookups!$B$3</f>
        <v>63637.636814799916</v>
      </c>
      <c r="BI111" s="8">
        <f>IF(Granger_Inventory[[#This Row],[bldg_style]]="",0,Lookups!$B$2)</f>
        <v>29703.559000000001</v>
      </c>
      <c r="BJ111" s="8">
        <f>_xlfn.IFNA(VLOOKUP(Granger_Inventory[[#This Row],[quality]],Lookups!$H$2:$J$14,3,FALSE),0)</f>
        <v>23737.786340274597</v>
      </c>
      <c r="BK111" s="8">
        <f>_xlfn.IFNA(VLOOKUP(Granger_Inventory[[#This Row],[condition]],Lookups!$H$17:$J$24,3,FALSE),0)</f>
        <v>33736</v>
      </c>
      <c r="BL111" s="8">
        <f>Granger_Inventory[[#This Row],[Age]]*Lookups!$B$16</f>
        <v>-16171.825799999999</v>
      </c>
      <c r="BM111" s="8">
        <f>Granger_Inventory[[#This Row],[living_area]]*Lookups!$B$17</f>
        <v>64380.173912999999</v>
      </c>
      <c r="BN111" s="8">
        <f>(Granger_Inventory[[#This Row],[att_gar]]+Granger_Inventory[[#This Row],[blt_gar]])*Lookups!$B$18</f>
        <v>0</v>
      </c>
      <c r="BO111" s="8">
        <f>Granger_Inventory[[#This Row],[Patio]]*Lookups!$B$19</f>
        <v>0</v>
      </c>
      <c r="BP111" s="8">
        <f>SUM(Granger_Inventory[[#This Row],[Intercept]:[Patio_Value]])*Granger_Inventory[[#This Row],[res_pct]]</f>
        <v>135385.69345327461</v>
      </c>
      <c r="BQ111" s="8">
        <f>Granger_Inventory[[#This Row],[land_value]]</f>
        <v>63637.636814799916</v>
      </c>
      <c r="BR111" s="4">
        <f>_xlfn.IFNA(VLOOKUP(Granger_Inventory[[#This Row],[quality]],Lookups!$A$25:$C$35,3,FALSE),1)</f>
        <v>0.77695375541795109</v>
      </c>
      <c r="BS111" s="4">
        <f>_xlfn.IFNA(VLOOKUP(Granger_Inventory[[#This Row],[condition]],Lookups!$A$38:$C$45,3,FALSE),1)</f>
        <v>0.92294678898076177</v>
      </c>
      <c r="BT111" s="4">
        <f>IF(Granger_Inventory[[#This Row],[decade]]="",1,_xlfn.IFNA(VLOOKUP(Granger_Inventory[[#This Row],[decade]],Lookups!$G$28:$I$42,3,FALSE),1))</f>
        <v>0.76006056002554967</v>
      </c>
      <c r="BU111" s="4">
        <f>_xlfn.IFNA(VLOOKUP(Granger_Inventory[[#This Row],[living_area_range]],Lookups!$A$48:$C$57,3,FALSE),1)</f>
        <v>0.81272404900450645</v>
      </c>
      <c r="BV111" s="4">
        <f>AVERAGE(Granger_Inventory[[#This Row],[qual_adj]:[living_range_adj]])</f>
        <v>0.81817128835719222</v>
      </c>
      <c r="BW111" s="8">
        <f>(Granger_Inventory[[#This Row],[sum_land]]-IF(Granger_Inventory[[#This Row],[no_utilities]]=1,12000,0))/IF(Granger_Inventory[[#This Row],[unbuildable]]=1,2,1)</f>
        <v>63637.636814799916</v>
      </c>
      <c r="BX111" s="8">
        <f>Granger_Inventory[[#This Row],[pre_res]]*Granger_Inventory[[#This Row],[overall_adj]]</f>
        <v>110768.68723779757</v>
      </c>
      <c r="BY111">
        <f>IF(ROUND(Granger_Inventory[[#This Row],[adj_land]]*Lookups!$I$45,-2)&lt;Granger_Inventory[[#This Row],[min_land]],Granger_Inventory[[#This Row],[min_land]],ROUND(Granger_Inventory[[#This Row],[adj_land]]*Lookups!$I$45,-2))</f>
        <v>60500</v>
      </c>
      <c r="BZ111">
        <f>ROUND(Granger_Inventory[[#This Row],[detatched_value]]*Lookups!$I$45,-2)</f>
        <v>0</v>
      </c>
      <c r="CA111">
        <f>IF(ROUND(Granger_Inventory[[#This Row],[adj_res]]*Lookups!$I$45,-2)&lt;Granger_Inventory[[#This Row],[min_res]],Granger_Inventory[[#This Row],[min_res]],ROUND(Granger_Inventory[[#This Row],[adj_res]]*Lookups!$I$45,-2))</f>
        <v>105200</v>
      </c>
      <c r="CB111">
        <f>Granger_Inventory[[#This Row],[final_det]]+Granger_Inventory[[#This Row],[final_res]]</f>
        <v>105200</v>
      </c>
      <c r="CC111">
        <f>Granger_Inventory[[#This Row],[final_land]]+Granger_Inventory[[#This Row],[final_imp]]+Granger_Inventory[[#This Row],[crop_value]]</f>
        <v>165700</v>
      </c>
      <c r="CE111" t="str">
        <f t="shared" si="1"/>
        <v>update valuation set market_land =60500, market_bldg=105200, market_total =165700, market_mdno =402, market_date ='9/10/2023' where link_id = (select link_id from parcel where parcel_year = '2024' and parcel_id = '21101633405');</v>
      </c>
    </row>
    <row r="112" spans="1:83" x14ac:dyDescent="0.25">
      <c r="A112">
        <v>21101633406</v>
      </c>
      <c r="B112">
        <v>0.48</v>
      </c>
      <c r="C112">
        <v>21091</v>
      </c>
      <c r="D112" t="s">
        <v>137</v>
      </c>
      <c r="E112" t="s">
        <v>54</v>
      </c>
      <c r="F112" t="s">
        <v>54</v>
      </c>
      <c r="G112">
        <v>3</v>
      </c>
      <c r="H112" t="s">
        <v>55</v>
      </c>
      <c r="I112">
        <v>104900</v>
      </c>
      <c r="J112">
        <v>31100</v>
      </c>
      <c r="K112">
        <v>0.48</v>
      </c>
      <c r="L112">
        <f>IF(Granger_Inventory[[#This Row],[parcel_acres]]-Granger_Inventory[[#This Row],[non_valued_acres]] =0,0,LN(Granger_Inventory[[#This Row],[parcel_acres]]-Granger_Inventory[[#This Row],[non_valued_acres]]))</f>
        <v>-0.73396917508020043</v>
      </c>
      <c r="M112">
        <v>0</v>
      </c>
      <c r="N112">
        <v>0</v>
      </c>
      <c r="O112">
        <v>0</v>
      </c>
      <c r="P112">
        <v>47108.068500000001</v>
      </c>
      <c r="Q112">
        <v>122298</v>
      </c>
      <c r="R112">
        <f>(Granger_Inventory[[#This Row],[ln_acres]]*Granger_Inventory[[#This Row],[coeff]])+Granger_Inventory[[#This Row],[const]]</f>
        <v>87722.129823433424</v>
      </c>
      <c r="S112" t="s">
        <v>69</v>
      </c>
      <c r="T112">
        <v>1</v>
      </c>
      <c r="U112" t="s">
        <v>71</v>
      </c>
      <c r="V112" t="s">
        <v>77</v>
      </c>
      <c r="W112">
        <v>0</v>
      </c>
      <c r="X112">
        <v>0</v>
      </c>
      <c r="Y112">
        <v>33</v>
      </c>
      <c r="Z112">
        <v>33</v>
      </c>
      <c r="AA112">
        <v>40</v>
      </c>
      <c r="AB112">
        <v>1000</v>
      </c>
      <c r="AC112">
        <v>935</v>
      </c>
      <c r="AD112">
        <v>935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284</v>
      </c>
      <c r="AN112">
        <v>120</v>
      </c>
      <c r="AO112">
        <v>0</v>
      </c>
      <c r="AP112">
        <v>5</v>
      </c>
      <c r="AQ112">
        <v>0</v>
      </c>
      <c r="AR112">
        <v>0</v>
      </c>
      <c r="AS112" t="s">
        <v>59</v>
      </c>
      <c r="AT112">
        <v>1</v>
      </c>
      <c r="AU112" t="s">
        <v>60</v>
      </c>
      <c r="AV112" t="s">
        <v>61</v>
      </c>
      <c r="AW112">
        <v>1</v>
      </c>
      <c r="AX112">
        <v>3</v>
      </c>
      <c r="AY112">
        <v>0</v>
      </c>
      <c r="AZ112">
        <v>13500</v>
      </c>
      <c r="BA112">
        <v>100</v>
      </c>
      <c r="BB112">
        <v>100</v>
      </c>
      <c r="BC112">
        <v>100</v>
      </c>
      <c r="BD112">
        <v>100</v>
      </c>
      <c r="BE112">
        <v>1</v>
      </c>
      <c r="BF112">
        <v>15000</v>
      </c>
      <c r="BG112">
        <v>1000</v>
      </c>
      <c r="BH112" s="8">
        <f>Granger_Inventory[[#This Row],[land_extract]]*Lookups!$B$3</f>
        <v>52258.774577417855</v>
      </c>
      <c r="BI112" s="8">
        <f>IF(Granger_Inventory[[#This Row],[bldg_style]]="",0,Lookups!$B$2)</f>
        <v>29703.559000000001</v>
      </c>
      <c r="BJ112" s="8">
        <f>_xlfn.IFNA(VLOOKUP(Granger_Inventory[[#This Row],[quality]],Lookups!$H$2:$J$14,3,FALSE),0)</f>
        <v>34195</v>
      </c>
      <c r="BK112" s="8">
        <f>_xlfn.IFNA(VLOOKUP(Granger_Inventory[[#This Row],[condition]],Lookups!$H$17:$J$24,3,FALSE),0)</f>
        <v>33736</v>
      </c>
      <c r="BL112" s="8">
        <f>Granger_Inventory[[#This Row],[Age]]*Lookups!$B$16</f>
        <v>-6841.9263000000001</v>
      </c>
      <c r="BM112" s="8">
        <f>Granger_Inventory[[#This Row],[living_area]]*Lookups!$B$17</f>
        <v>62900.169914999999</v>
      </c>
      <c r="BN112" s="8">
        <f>(Granger_Inventory[[#This Row],[att_gar]]+Granger_Inventory[[#This Row],[blt_gar]])*Lookups!$B$18</f>
        <v>0</v>
      </c>
      <c r="BO112" s="8">
        <f>Granger_Inventory[[#This Row],[Patio]]*Lookups!$B$19</f>
        <v>15425.487263999999</v>
      </c>
      <c r="BP112" s="8">
        <f>SUM(Granger_Inventory[[#This Row],[Intercept]:[Patio_Value]])*Granger_Inventory[[#This Row],[res_pct]]</f>
        <v>169118.28987899999</v>
      </c>
      <c r="BQ112" s="8">
        <f>Granger_Inventory[[#This Row],[land_value]]</f>
        <v>52258.774577417855</v>
      </c>
      <c r="BR112" s="4">
        <f>_xlfn.IFNA(VLOOKUP(Granger_Inventory[[#This Row],[quality]],Lookups!$A$25:$C$35,3,FALSE),1)</f>
        <v>0.98258795897788032</v>
      </c>
      <c r="BS112" s="4">
        <f>_xlfn.IFNA(VLOOKUP(Granger_Inventory[[#This Row],[condition]],Lookups!$A$38:$C$45,3,FALSE),1)</f>
        <v>0.92294678898076177</v>
      </c>
      <c r="BT112" s="4">
        <f>IF(Granger_Inventory[[#This Row],[decade]]="",1,_xlfn.IFNA(VLOOKUP(Granger_Inventory[[#This Row],[decade]],Lookups!$G$28:$I$42,3,FALSE),1))</f>
        <v>0.98127609555109363</v>
      </c>
      <c r="BU112" s="4">
        <f>_xlfn.IFNA(VLOOKUP(Granger_Inventory[[#This Row],[living_area_range]],Lookups!$A$48:$C$57,3,FALSE),1)</f>
        <v>0.81272404900450645</v>
      </c>
      <c r="BV112" s="4">
        <f>AVERAGE(Granger_Inventory[[#This Row],[qual_adj]:[living_range_adj]])</f>
        <v>0.92488372312856049</v>
      </c>
      <c r="BW112" s="8">
        <f>(Granger_Inventory[[#This Row],[sum_land]]-IF(Granger_Inventory[[#This Row],[no_utilities]]=1,12000,0))/IF(Granger_Inventory[[#This Row],[unbuildable]]=1,2,1)</f>
        <v>52258.774577417855</v>
      </c>
      <c r="BX112" s="8">
        <f>Granger_Inventory[[#This Row],[pre_res]]*Granger_Inventory[[#This Row],[overall_adj]]</f>
        <v>156414.75359242465</v>
      </c>
      <c r="BY112">
        <f>IF(ROUND(Granger_Inventory[[#This Row],[adj_land]]*Lookups!$I$45,-2)&lt;Granger_Inventory[[#This Row],[min_land]],Granger_Inventory[[#This Row],[min_land]],ROUND(Granger_Inventory[[#This Row],[adj_land]]*Lookups!$I$45,-2))</f>
        <v>49600</v>
      </c>
      <c r="BZ112">
        <f>ROUND(Granger_Inventory[[#This Row],[detatched_value]]*Lookups!$I$45,-2)</f>
        <v>12800</v>
      </c>
      <c r="CA112">
        <f>IF(ROUND(Granger_Inventory[[#This Row],[adj_res]]*Lookups!$I$45,-2)&lt;Granger_Inventory[[#This Row],[min_res]],Granger_Inventory[[#This Row],[min_res]],ROUND(Granger_Inventory[[#This Row],[adj_res]]*Lookups!$I$45,-2))</f>
        <v>148600</v>
      </c>
      <c r="CB112">
        <f>Granger_Inventory[[#This Row],[final_det]]+Granger_Inventory[[#This Row],[final_res]]</f>
        <v>161400</v>
      </c>
      <c r="CC112">
        <f>Granger_Inventory[[#This Row],[final_land]]+Granger_Inventory[[#This Row],[final_imp]]+Granger_Inventory[[#This Row],[crop_value]]</f>
        <v>211000</v>
      </c>
      <c r="CE112" t="str">
        <f t="shared" si="1"/>
        <v>update valuation set market_land =49600, market_bldg=161400, market_total =211000, market_mdno =402, market_date ='9/10/2023' where link_id = (select link_id from parcel where parcel_year = '2024' and parcel_id = '21101633406');</v>
      </c>
    </row>
    <row r="113" spans="1:83" x14ac:dyDescent="0.25">
      <c r="A113">
        <v>21101633407</v>
      </c>
      <c r="B113">
        <v>0.27</v>
      </c>
      <c r="C113">
        <v>11545</v>
      </c>
      <c r="D113" t="s">
        <v>137</v>
      </c>
      <c r="E113" t="s">
        <v>54</v>
      </c>
      <c r="F113" t="s">
        <v>54</v>
      </c>
      <c r="G113">
        <v>3</v>
      </c>
      <c r="H113" t="s">
        <v>55</v>
      </c>
      <c r="I113">
        <v>41100</v>
      </c>
      <c r="J113">
        <v>27900</v>
      </c>
      <c r="K113">
        <v>0.27</v>
      </c>
      <c r="L113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113">
        <v>0</v>
      </c>
      <c r="N113">
        <v>0</v>
      </c>
      <c r="O113">
        <v>0</v>
      </c>
      <c r="P113">
        <v>47108.068500000001</v>
      </c>
      <c r="Q113">
        <v>122298</v>
      </c>
      <c r="R113">
        <f>(Granger_Inventory[[#This Row],[ln_acres]]*Granger_Inventory[[#This Row],[coeff]])+Granger_Inventory[[#This Row],[const]]</f>
        <v>60617.836272872511</v>
      </c>
      <c r="S113" t="s">
        <v>69</v>
      </c>
      <c r="T113">
        <v>1</v>
      </c>
      <c r="U113" t="s">
        <v>78</v>
      </c>
      <c r="V113" t="s">
        <v>79</v>
      </c>
      <c r="W113">
        <v>0</v>
      </c>
      <c r="X113">
        <v>0</v>
      </c>
      <c r="Y113">
        <v>51</v>
      </c>
      <c r="Z113">
        <v>78</v>
      </c>
      <c r="AA113">
        <v>80</v>
      </c>
      <c r="AB113">
        <v>1000</v>
      </c>
      <c r="AC113">
        <v>863</v>
      </c>
      <c r="AD113">
        <v>863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25</v>
      </c>
      <c r="AO113">
        <v>0</v>
      </c>
      <c r="AP113">
        <v>5</v>
      </c>
      <c r="AQ113">
        <v>0</v>
      </c>
      <c r="AR113">
        <v>0</v>
      </c>
      <c r="AS113" t="s">
        <v>59</v>
      </c>
      <c r="AT113">
        <v>1</v>
      </c>
      <c r="AU113" t="s">
        <v>68</v>
      </c>
      <c r="AV113" t="s">
        <v>65</v>
      </c>
      <c r="AW113">
        <v>0</v>
      </c>
      <c r="AX113">
        <v>2</v>
      </c>
      <c r="AY113">
        <v>0</v>
      </c>
      <c r="AZ113">
        <v>0</v>
      </c>
      <c r="BA113">
        <v>100</v>
      </c>
      <c r="BB113">
        <v>100</v>
      </c>
      <c r="BC113">
        <v>100</v>
      </c>
      <c r="BD113">
        <v>100</v>
      </c>
      <c r="BE113">
        <v>1</v>
      </c>
      <c r="BF113">
        <v>15000</v>
      </c>
      <c r="BG113">
        <v>1000</v>
      </c>
      <c r="BH113" s="8">
        <f>Granger_Inventory[[#This Row],[land_extract]]*Lookups!$B$3</f>
        <v>36111.912097107357</v>
      </c>
      <c r="BI113" s="8">
        <f>IF(Granger_Inventory[[#This Row],[bldg_style]]="",0,Lookups!$B$2)</f>
        <v>29703.559000000001</v>
      </c>
      <c r="BJ113" s="8">
        <f>_xlfn.IFNA(VLOOKUP(Granger_Inventory[[#This Row],[quality]],Lookups!$H$2:$J$14,3,FALSE),0)</f>
        <v>23737.786340274597</v>
      </c>
      <c r="BK113" s="8">
        <f>_xlfn.IFNA(VLOOKUP(Granger_Inventory[[#This Row],[condition]],Lookups!$H$17:$J$24,3,FALSE),0)</f>
        <v>86727</v>
      </c>
      <c r="BL113" s="8">
        <f>Granger_Inventory[[#This Row],[Age]]*Lookups!$B$16</f>
        <v>-16171.825799999999</v>
      </c>
      <c r="BM113" s="8">
        <f>Granger_Inventory[[#This Row],[living_area]]*Lookups!$B$17</f>
        <v>58056.520467000002</v>
      </c>
      <c r="BN113" s="8">
        <f>(Granger_Inventory[[#This Row],[att_gar]]+Granger_Inventory[[#This Row],[blt_gar]])*Lookups!$B$18</f>
        <v>0</v>
      </c>
      <c r="BO113" s="8">
        <f>Granger_Inventory[[#This Row],[Patio]]*Lookups!$B$19</f>
        <v>0</v>
      </c>
      <c r="BP113" s="8">
        <f>SUM(Granger_Inventory[[#This Row],[Intercept]:[Patio_Value]])*Granger_Inventory[[#This Row],[res_pct]]</f>
        <v>182053.0400072746</v>
      </c>
      <c r="BQ113" s="8">
        <f>Granger_Inventory[[#This Row],[land_value]]</f>
        <v>36111.912097107357</v>
      </c>
      <c r="BR113" s="4">
        <f>_xlfn.IFNA(VLOOKUP(Granger_Inventory[[#This Row],[quality]],Lookups!$A$25:$C$35,3,FALSE),1)</f>
        <v>0.77695375541795109</v>
      </c>
      <c r="BS113" s="4">
        <f>_xlfn.IFNA(VLOOKUP(Granger_Inventory[[#This Row],[condition]],Lookups!$A$38:$C$45,3,FALSE),1)</f>
        <v>0.85322907131620684</v>
      </c>
      <c r="BT113" s="4">
        <f>IF(Granger_Inventory[[#This Row],[decade]]="",1,_xlfn.IFNA(VLOOKUP(Granger_Inventory[[#This Row],[decade]],Lookups!$G$28:$I$42,3,FALSE),1))</f>
        <v>0.76006056002554967</v>
      </c>
      <c r="BU113" s="4">
        <f>_xlfn.IFNA(VLOOKUP(Granger_Inventory[[#This Row],[living_area_range]],Lookups!$A$48:$C$57,3,FALSE),1)</f>
        <v>0.81272404900450645</v>
      </c>
      <c r="BV113" s="4">
        <f>AVERAGE(Granger_Inventory[[#This Row],[qual_adj]:[living_range_adj]])</f>
        <v>0.80074185894105354</v>
      </c>
      <c r="BW113" s="8">
        <f>(Granger_Inventory[[#This Row],[sum_land]]-IF(Granger_Inventory[[#This Row],[no_utilities]]=1,12000,0))/IF(Granger_Inventory[[#This Row],[unbuildable]]=1,2,1)</f>
        <v>36111.912097107357</v>
      </c>
      <c r="BX113" s="8">
        <f>Granger_Inventory[[#This Row],[pre_res]]*Granger_Inventory[[#This Row],[overall_adj]]</f>
        <v>145777.48968129506</v>
      </c>
      <c r="BY113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113">
        <f>ROUND(Granger_Inventory[[#This Row],[detatched_value]]*Lookups!$I$45,-2)</f>
        <v>0</v>
      </c>
      <c r="CA113">
        <f>IF(ROUND(Granger_Inventory[[#This Row],[adj_res]]*Lookups!$I$45,-2)&lt;Granger_Inventory[[#This Row],[min_res]],Granger_Inventory[[#This Row],[min_res]],ROUND(Granger_Inventory[[#This Row],[adj_res]]*Lookups!$I$45,-2))</f>
        <v>138500</v>
      </c>
      <c r="CB113">
        <f>Granger_Inventory[[#This Row],[final_det]]+Granger_Inventory[[#This Row],[final_res]]</f>
        <v>138500</v>
      </c>
      <c r="CC113">
        <f>Granger_Inventory[[#This Row],[final_land]]+Granger_Inventory[[#This Row],[final_imp]]+Granger_Inventory[[#This Row],[crop_value]]</f>
        <v>172800</v>
      </c>
      <c r="CE113" t="str">
        <f t="shared" si="1"/>
        <v>update valuation set market_land =34300, market_bldg=138500, market_total =172800, market_mdno =402, market_date ='9/10/2023' where link_id = (select link_id from parcel where parcel_year = '2024' and parcel_id = '21101633407');</v>
      </c>
    </row>
    <row r="114" spans="1:83" x14ac:dyDescent="0.25">
      <c r="A114">
        <v>21101633408</v>
      </c>
      <c r="B114">
        <v>0.27</v>
      </c>
      <c r="C114">
        <v>11952</v>
      </c>
      <c r="D114" t="s">
        <v>137</v>
      </c>
      <c r="E114" t="s">
        <v>54</v>
      </c>
      <c r="F114" t="s">
        <v>54</v>
      </c>
      <c r="G114">
        <v>3</v>
      </c>
      <c r="H114" t="s">
        <v>55</v>
      </c>
      <c r="I114">
        <v>218400</v>
      </c>
      <c r="J114">
        <v>27900</v>
      </c>
      <c r="K114">
        <v>0.27</v>
      </c>
      <c r="L114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114">
        <v>0</v>
      </c>
      <c r="N114">
        <v>0</v>
      </c>
      <c r="O114">
        <v>0</v>
      </c>
      <c r="P114">
        <v>47108.068500000001</v>
      </c>
      <c r="Q114">
        <v>122298</v>
      </c>
      <c r="R114">
        <f>(Granger_Inventory[[#This Row],[ln_acres]]*Granger_Inventory[[#This Row],[coeff]])+Granger_Inventory[[#This Row],[const]]</f>
        <v>60617.836272872511</v>
      </c>
      <c r="S114" t="s">
        <v>59</v>
      </c>
      <c r="T114">
        <v>1</v>
      </c>
      <c r="U114" t="s">
        <v>57</v>
      </c>
      <c r="V114" t="s">
        <v>72</v>
      </c>
      <c r="W114">
        <v>0</v>
      </c>
      <c r="X114">
        <v>0</v>
      </c>
      <c r="Y114">
        <v>20</v>
      </c>
      <c r="Z114">
        <v>20</v>
      </c>
      <c r="AA114">
        <v>20</v>
      </c>
      <c r="AB114">
        <v>1500</v>
      </c>
      <c r="AC114">
        <v>1179</v>
      </c>
      <c r="AD114">
        <v>1179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144</v>
      </c>
      <c r="AN114">
        <v>42</v>
      </c>
      <c r="AO114">
        <v>0</v>
      </c>
      <c r="AP114">
        <v>8</v>
      </c>
      <c r="AQ114">
        <v>0</v>
      </c>
      <c r="AR114">
        <v>0</v>
      </c>
      <c r="AS114" t="s">
        <v>59</v>
      </c>
      <c r="AT114">
        <v>1</v>
      </c>
      <c r="AU114" t="s">
        <v>60</v>
      </c>
      <c r="AV114" t="s">
        <v>61</v>
      </c>
      <c r="AW114">
        <v>1</v>
      </c>
      <c r="AX114">
        <v>3</v>
      </c>
      <c r="AY114">
        <v>0</v>
      </c>
      <c r="AZ114">
        <v>0</v>
      </c>
      <c r="BA114">
        <v>100</v>
      </c>
      <c r="BB114">
        <v>100</v>
      </c>
      <c r="BC114">
        <v>100</v>
      </c>
      <c r="BD114">
        <v>100</v>
      </c>
      <c r="BE114">
        <v>1</v>
      </c>
      <c r="BF114">
        <v>15000</v>
      </c>
      <c r="BG114">
        <v>1000</v>
      </c>
      <c r="BH114" s="8">
        <f>Granger_Inventory[[#This Row],[land_extract]]*Lookups!$B$3</f>
        <v>36111.912097107357</v>
      </c>
      <c r="BI114" s="8">
        <f>IF(Granger_Inventory[[#This Row],[bldg_style]]="",0,Lookups!$B$2)</f>
        <v>29703.559000000001</v>
      </c>
      <c r="BJ114" s="8">
        <f>_xlfn.IFNA(VLOOKUP(Granger_Inventory[[#This Row],[quality]],Lookups!$H$2:$J$14,3,FALSE),0)</f>
        <v>56414</v>
      </c>
      <c r="BK114" s="8">
        <f>_xlfn.IFNA(VLOOKUP(Granger_Inventory[[#This Row],[condition]],Lookups!$H$17:$J$24,3,FALSE),0)</f>
        <v>94106</v>
      </c>
      <c r="BL114" s="8">
        <f>Granger_Inventory[[#This Row],[Age]]*Lookups!$B$16</f>
        <v>-4146.6219999999994</v>
      </c>
      <c r="BM114" s="8">
        <f>Granger_Inventory[[#This Row],[living_area]]*Lookups!$B$17</f>
        <v>79314.759710999992</v>
      </c>
      <c r="BN114" s="8">
        <f>(Granger_Inventory[[#This Row],[att_gar]]+Granger_Inventory[[#This Row],[blt_gar]])*Lookups!$B$18</f>
        <v>0</v>
      </c>
      <c r="BO114" s="8">
        <f>Granger_Inventory[[#This Row],[Patio]]*Lookups!$B$19</f>
        <v>7821.3738239999993</v>
      </c>
      <c r="BP114" s="8">
        <f>SUM(Granger_Inventory[[#This Row],[Intercept]:[Patio_Value]])*Granger_Inventory[[#This Row],[res_pct]]</f>
        <v>263213.07053500001</v>
      </c>
      <c r="BQ114" s="8">
        <f>Granger_Inventory[[#This Row],[land_value]]</f>
        <v>36111.912097107357</v>
      </c>
      <c r="BR114" s="4">
        <f>_xlfn.IFNA(VLOOKUP(Granger_Inventory[[#This Row],[quality]],Lookups!$A$25:$C$35,3,FALSE),1)</f>
        <v>0.98791809110152173</v>
      </c>
      <c r="BS114" s="4">
        <f>_xlfn.IFNA(VLOOKUP(Granger_Inventory[[#This Row],[condition]],Lookups!$A$38:$C$45,3,FALSE),1)</f>
        <v>0.98658583151544277</v>
      </c>
      <c r="BT114" s="4">
        <f>IF(Granger_Inventory[[#This Row],[decade]]="",1,_xlfn.IFNA(VLOOKUP(Granger_Inventory[[#This Row],[decade]],Lookups!$G$28:$I$42,3,FALSE),1))</f>
        <v>1.0159161060824455</v>
      </c>
      <c r="BU114" s="4">
        <f>_xlfn.IFNA(VLOOKUP(Granger_Inventory[[#This Row],[living_area_range]],Lookups!$A$48:$C$57,3,FALSE),1)</f>
        <v>0.97960506760539345</v>
      </c>
      <c r="BV114" s="4">
        <f>AVERAGE(Granger_Inventory[[#This Row],[qual_adj]:[living_range_adj]])</f>
        <v>0.99250627407620096</v>
      </c>
      <c r="BW114" s="8">
        <f>(Granger_Inventory[[#This Row],[sum_land]]-IF(Granger_Inventory[[#This Row],[no_utilities]]=1,12000,0))/IF(Granger_Inventory[[#This Row],[unbuildable]]=1,2,1)</f>
        <v>36111.912097107357</v>
      </c>
      <c r="BX114" s="8">
        <f>Granger_Inventory[[#This Row],[pre_res]]*Granger_Inventory[[#This Row],[overall_adj]]</f>
        <v>261240.62392484912</v>
      </c>
      <c r="BY114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114">
        <f>ROUND(Granger_Inventory[[#This Row],[detatched_value]]*Lookups!$I$45,-2)</f>
        <v>0</v>
      </c>
      <c r="CA114">
        <f>IF(ROUND(Granger_Inventory[[#This Row],[adj_res]]*Lookups!$I$45,-2)&lt;Granger_Inventory[[#This Row],[min_res]],Granger_Inventory[[#This Row],[min_res]],ROUND(Granger_Inventory[[#This Row],[adj_res]]*Lookups!$I$45,-2))</f>
        <v>248200</v>
      </c>
      <c r="CB114">
        <f>Granger_Inventory[[#This Row],[final_det]]+Granger_Inventory[[#This Row],[final_res]]</f>
        <v>248200</v>
      </c>
      <c r="CC114">
        <f>Granger_Inventory[[#This Row],[final_land]]+Granger_Inventory[[#This Row],[final_imp]]+Granger_Inventory[[#This Row],[crop_value]]</f>
        <v>282500</v>
      </c>
      <c r="CE114" t="str">
        <f t="shared" si="1"/>
        <v>update valuation set market_land =34300, market_bldg=248200, market_total =282500, market_mdno =402, market_date ='9/10/2023' where link_id = (select link_id from parcel where parcel_year = '2024' and parcel_id = '21101633408');</v>
      </c>
    </row>
    <row r="115" spans="1:83" x14ac:dyDescent="0.25">
      <c r="A115">
        <v>21101633409</v>
      </c>
      <c r="B115">
        <v>0.42</v>
      </c>
      <c r="C115">
        <v>18487</v>
      </c>
      <c r="D115" t="s">
        <v>137</v>
      </c>
      <c r="E115" t="s">
        <v>54</v>
      </c>
      <c r="F115" t="s">
        <v>54</v>
      </c>
      <c r="G115">
        <v>3</v>
      </c>
      <c r="H115" t="s">
        <v>55</v>
      </c>
      <c r="I115">
        <v>118600</v>
      </c>
      <c r="J115">
        <v>30300</v>
      </c>
      <c r="K115">
        <v>0.42</v>
      </c>
      <c r="L115">
        <f>IF(Granger_Inventory[[#This Row],[parcel_acres]]-Granger_Inventory[[#This Row],[non_valued_acres]] =0,0,LN(Granger_Inventory[[#This Row],[parcel_acres]]-Granger_Inventory[[#This Row],[non_valued_acres]]))</f>
        <v>-0.86750056770472306</v>
      </c>
      <c r="M115">
        <v>0</v>
      </c>
      <c r="N115">
        <v>0</v>
      </c>
      <c r="O115">
        <v>0</v>
      </c>
      <c r="P115">
        <v>47108.068500000001</v>
      </c>
      <c r="Q115">
        <v>122298</v>
      </c>
      <c r="R115">
        <f>(Granger_Inventory[[#This Row],[ln_acres]]*Granger_Inventory[[#This Row],[coeff]])+Granger_Inventory[[#This Row],[const]]</f>
        <v>81431.723832777017</v>
      </c>
      <c r="S115" t="s">
        <v>69</v>
      </c>
      <c r="T115">
        <v>1</v>
      </c>
      <c r="U115" t="s">
        <v>71</v>
      </c>
      <c r="V115" t="s">
        <v>77</v>
      </c>
      <c r="W115">
        <v>0</v>
      </c>
      <c r="X115">
        <v>0</v>
      </c>
      <c r="Y115">
        <v>49</v>
      </c>
      <c r="Z115">
        <v>68</v>
      </c>
      <c r="AA115">
        <v>70</v>
      </c>
      <c r="AB115">
        <v>1500</v>
      </c>
      <c r="AC115">
        <v>1290</v>
      </c>
      <c r="AD115">
        <v>1290</v>
      </c>
      <c r="AE115">
        <v>0</v>
      </c>
      <c r="AF115">
        <v>0</v>
      </c>
      <c r="AG115">
        <v>0</v>
      </c>
      <c r="AH115">
        <v>720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5</v>
      </c>
      <c r="AQ115">
        <v>0</v>
      </c>
      <c r="AR115">
        <v>0</v>
      </c>
      <c r="AS115" t="s">
        <v>59</v>
      </c>
      <c r="AT115">
        <v>1</v>
      </c>
      <c r="AU115" t="s">
        <v>60</v>
      </c>
      <c r="AV115" t="s">
        <v>61</v>
      </c>
      <c r="AW115">
        <v>0</v>
      </c>
      <c r="AX115">
        <v>3</v>
      </c>
      <c r="AY115">
        <v>0</v>
      </c>
      <c r="AZ115">
        <v>0</v>
      </c>
      <c r="BA115">
        <v>100</v>
      </c>
      <c r="BB115">
        <v>100</v>
      </c>
      <c r="BC115">
        <v>100</v>
      </c>
      <c r="BD115">
        <v>100</v>
      </c>
      <c r="BE115">
        <v>1</v>
      </c>
      <c r="BF115">
        <v>15000</v>
      </c>
      <c r="BG115">
        <v>1000</v>
      </c>
      <c r="BH115" s="8">
        <f>Granger_Inventory[[#This Row],[land_extract]]*Lookups!$B$3</f>
        <v>48511.385984279317</v>
      </c>
      <c r="BI115" s="8">
        <f>IF(Granger_Inventory[[#This Row],[bldg_style]]="",0,Lookups!$B$2)</f>
        <v>29703.559000000001</v>
      </c>
      <c r="BJ115" s="8">
        <f>_xlfn.IFNA(VLOOKUP(Granger_Inventory[[#This Row],[quality]],Lookups!$H$2:$J$14,3,FALSE),0)</f>
        <v>34195</v>
      </c>
      <c r="BK115" s="8">
        <f>_xlfn.IFNA(VLOOKUP(Granger_Inventory[[#This Row],[condition]],Lookups!$H$17:$J$24,3,FALSE),0)</f>
        <v>33736</v>
      </c>
      <c r="BL115" s="8">
        <f>Granger_Inventory[[#This Row],[Age]]*Lookups!$B$16</f>
        <v>-14098.514799999999</v>
      </c>
      <c r="BM115" s="8">
        <f>Granger_Inventory[[#This Row],[living_area]]*Lookups!$B$17</f>
        <v>86782.052609999999</v>
      </c>
      <c r="BN115" s="8">
        <f>(Granger_Inventory[[#This Row],[att_gar]]+Granger_Inventory[[#This Row],[blt_gar]])*Lookups!$B$18</f>
        <v>0</v>
      </c>
      <c r="BO115" s="8">
        <f>Granger_Inventory[[#This Row],[Patio]]*Lookups!$B$19</f>
        <v>0</v>
      </c>
      <c r="BP115" s="8">
        <f>SUM(Granger_Inventory[[#This Row],[Intercept]:[Patio_Value]])*Granger_Inventory[[#This Row],[res_pct]]</f>
        <v>170318.09681000002</v>
      </c>
      <c r="BQ115" s="8">
        <f>Granger_Inventory[[#This Row],[land_value]]</f>
        <v>48511.385984279317</v>
      </c>
      <c r="BR115" s="4">
        <f>_xlfn.IFNA(VLOOKUP(Granger_Inventory[[#This Row],[quality]],Lookups!$A$25:$C$35,3,FALSE),1)</f>
        <v>0.98258795897788032</v>
      </c>
      <c r="BS115" s="4">
        <f>_xlfn.IFNA(VLOOKUP(Granger_Inventory[[#This Row],[condition]],Lookups!$A$38:$C$45,3,FALSE),1)</f>
        <v>0.92294678898076177</v>
      </c>
      <c r="BT115" s="4">
        <f>IF(Granger_Inventory[[#This Row],[decade]]="",1,_xlfn.IFNA(VLOOKUP(Granger_Inventory[[#This Row],[decade]],Lookups!$G$28:$I$42,3,FALSE),1))</f>
        <v>1.0270382440255921</v>
      </c>
      <c r="BU115" s="4">
        <f>_xlfn.IFNA(VLOOKUP(Granger_Inventory[[#This Row],[living_area_range]],Lookups!$A$48:$C$57,3,FALSE),1)</f>
        <v>0.97960506760539345</v>
      </c>
      <c r="BV115" s="4">
        <f>AVERAGE(Granger_Inventory[[#This Row],[qual_adj]:[living_range_adj]])</f>
        <v>0.97804451489740685</v>
      </c>
      <c r="BW115" s="8">
        <f>(Granger_Inventory[[#This Row],[sum_land]]-IF(Granger_Inventory[[#This Row],[no_utilities]]=1,12000,0))/IF(Granger_Inventory[[#This Row],[unbuildable]]=1,2,1)</f>
        <v>48511.385984279317</v>
      </c>
      <c r="BX115" s="8">
        <f>Granger_Inventory[[#This Row],[pre_res]]*Granger_Inventory[[#This Row],[overall_adj]]</f>
        <v>166578.68037278604</v>
      </c>
      <c r="BY115">
        <f>IF(ROUND(Granger_Inventory[[#This Row],[adj_land]]*Lookups!$I$45,-2)&lt;Granger_Inventory[[#This Row],[min_land]],Granger_Inventory[[#This Row],[min_land]],ROUND(Granger_Inventory[[#This Row],[adj_land]]*Lookups!$I$45,-2))</f>
        <v>46100</v>
      </c>
      <c r="BZ115">
        <f>ROUND(Granger_Inventory[[#This Row],[detatched_value]]*Lookups!$I$45,-2)</f>
        <v>0</v>
      </c>
      <c r="CA115">
        <f>IF(ROUND(Granger_Inventory[[#This Row],[adj_res]]*Lookups!$I$45,-2)&lt;Granger_Inventory[[#This Row],[min_res]],Granger_Inventory[[#This Row],[min_res]],ROUND(Granger_Inventory[[#This Row],[adj_res]]*Lookups!$I$45,-2))</f>
        <v>158200</v>
      </c>
      <c r="CB115">
        <f>Granger_Inventory[[#This Row],[final_det]]+Granger_Inventory[[#This Row],[final_res]]</f>
        <v>158200</v>
      </c>
      <c r="CC115">
        <f>Granger_Inventory[[#This Row],[final_land]]+Granger_Inventory[[#This Row],[final_imp]]+Granger_Inventory[[#This Row],[crop_value]]</f>
        <v>204300</v>
      </c>
      <c r="CE115" t="str">
        <f t="shared" si="1"/>
        <v>update valuation set market_land =46100, market_bldg=158200, market_total =204300, market_mdno =402, market_date ='9/10/2023' where link_id = (select link_id from parcel where parcel_year = '2024' and parcel_id = '21101633409');</v>
      </c>
    </row>
    <row r="116" spans="1:83" x14ac:dyDescent="0.25">
      <c r="A116">
        <v>21101633410</v>
      </c>
      <c r="B116">
        <v>0.39</v>
      </c>
      <c r="C116">
        <v>17006</v>
      </c>
      <c r="D116" t="s">
        <v>137</v>
      </c>
      <c r="E116" t="s">
        <v>54</v>
      </c>
      <c r="F116" t="s">
        <v>54</v>
      </c>
      <c r="G116">
        <v>3</v>
      </c>
      <c r="H116" t="s">
        <v>55</v>
      </c>
      <c r="I116">
        <v>101400</v>
      </c>
      <c r="J116">
        <v>29900</v>
      </c>
      <c r="K116">
        <v>0.39</v>
      </c>
      <c r="L116">
        <f>IF(Granger_Inventory[[#This Row],[parcel_acres]]-Granger_Inventory[[#This Row],[non_valued_acres]] =0,0,LN(Granger_Inventory[[#This Row],[parcel_acres]]-Granger_Inventory[[#This Row],[non_valued_acres]]))</f>
        <v>-0.94160853985844495</v>
      </c>
      <c r="M116">
        <v>0</v>
      </c>
      <c r="N116">
        <v>0</v>
      </c>
      <c r="O116">
        <v>0</v>
      </c>
      <c r="P116">
        <v>47108.068500000001</v>
      </c>
      <c r="Q116">
        <v>122298</v>
      </c>
      <c r="R116">
        <f>(Granger_Inventory[[#This Row],[ln_acres]]*Granger_Inventory[[#This Row],[coeff]])+Granger_Inventory[[#This Row],[const]]</f>
        <v>77940.640404163394</v>
      </c>
      <c r="S116" t="s">
        <v>56</v>
      </c>
      <c r="T116">
        <v>1</v>
      </c>
      <c r="U116" t="s">
        <v>71</v>
      </c>
      <c r="V116" t="s">
        <v>77</v>
      </c>
      <c r="W116">
        <v>0</v>
      </c>
      <c r="X116">
        <v>0</v>
      </c>
      <c r="Y116">
        <v>48</v>
      </c>
      <c r="Z116">
        <v>63</v>
      </c>
      <c r="AA116">
        <v>70</v>
      </c>
      <c r="AB116">
        <v>2000</v>
      </c>
      <c r="AC116">
        <v>1760</v>
      </c>
      <c r="AD116">
        <v>1172</v>
      </c>
      <c r="AE116">
        <v>0</v>
      </c>
      <c r="AF116">
        <v>588</v>
      </c>
      <c r="AG116">
        <v>0</v>
      </c>
      <c r="AH116">
        <v>560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15</v>
      </c>
      <c r="AO116">
        <v>0</v>
      </c>
      <c r="AP116">
        <v>5</v>
      </c>
      <c r="AQ116">
        <v>0</v>
      </c>
      <c r="AR116">
        <v>0</v>
      </c>
      <c r="AS116" t="s">
        <v>59</v>
      </c>
      <c r="AT116">
        <v>1</v>
      </c>
      <c r="AU116" t="s">
        <v>76</v>
      </c>
      <c r="AV116" t="s">
        <v>61</v>
      </c>
      <c r="AW116">
        <v>0</v>
      </c>
      <c r="AX116">
        <v>3</v>
      </c>
      <c r="AY116">
        <v>0</v>
      </c>
      <c r="AZ116">
        <v>0</v>
      </c>
      <c r="BA116">
        <v>100</v>
      </c>
      <c r="BB116">
        <v>100</v>
      </c>
      <c r="BC116">
        <v>100</v>
      </c>
      <c r="BD116">
        <v>100</v>
      </c>
      <c r="BE116">
        <v>1</v>
      </c>
      <c r="BF116">
        <v>15000</v>
      </c>
      <c r="BG116">
        <v>1000</v>
      </c>
      <c r="BH116" s="8">
        <f>Granger_Inventory[[#This Row],[land_extract]]*Lookups!$B$3</f>
        <v>46431.640060484584</v>
      </c>
      <c r="BI116" s="8">
        <f>IF(Granger_Inventory[[#This Row],[bldg_style]]="",0,Lookups!$B$2)</f>
        <v>29703.559000000001</v>
      </c>
      <c r="BJ116" s="8">
        <f>_xlfn.IFNA(VLOOKUP(Granger_Inventory[[#This Row],[quality]],Lookups!$H$2:$J$14,3,FALSE),0)</f>
        <v>34195</v>
      </c>
      <c r="BK116" s="8">
        <f>_xlfn.IFNA(VLOOKUP(Granger_Inventory[[#This Row],[condition]],Lookups!$H$17:$J$24,3,FALSE),0)</f>
        <v>33736</v>
      </c>
      <c r="BL116" s="8">
        <f>Granger_Inventory[[#This Row],[Age]]*Lookups!$B$16</f>
        <v>-13061.8593</v>
      </c>
      <c r="BM116" s="8">
        <f>Granger_Inventory[[#This Row],[living_area]]*Lookups!$B$17</f>
        <v>118400.31984</v>
      </c>
      <c r="BN116" s="8">
        <f>(Granger_Inventory[[#This Row],[att_gar]]+Granger_Inventory[[#This Row],[blt_gar]])*Lookups!$B$18</f>
        <v>0</v>
      </c>
      <c r="BO116" s="8">
        <f>Granger_Inventory[[#This Row],[Patio]]*Lookups!$B$19</f>
        <v>0</v>
      </c>
      <c r="BP116" s="8">
        <f>SUM(Granger_Inventory[[#This Row],[Intercept]:[Patio_Value]])*Granger_Inventory[[#This Row],[res_pct]]</f>
        <v>202973.01954000001</v>
      </c>
      <c r="BQ116" s="8">
        <f>Granger_Inventory[[#This Row],[land_value]]</f>
        <v>46431.640060484584</v>
      </c>
      <c r="BR116" s="4">
        <f>_xlfn.IFNA(VLOOKUP(Granger_Inventory[[#This Row],[quality]],Lookups!$A$25:$C$35,3,FALSE),1)</f>
        <v>0.98258795897788032</v>
      </c>
      <c r="BS116" s="4">
        <f>_xlfn.IFNA(VLOOKUP(Granger_Inventory[[#This Row],[condition]],Lookups!$A$38:$C$45,3,FALSE),1)</f>
        <v>0.92294678898076177</v>
      </c>
      <c r="BT116" s="4">
        <f>IF(Granger_Inventory[[#This Row],[decade]]="",1,_xlfn.IFNA(VLOOKUP(Granger_Inventory[[#This Row],[decade]],Lookups!$G$28:$I$42,3,FALSE),1))</f>
        <v>1.0270382440255921</v>
      </c>
      <c r="BU116" s="4">
        <f>_xlfn.IFNA(VLOOKUP(Granger_Inventory[[#This Row],[living_area_range]],Lookups!$A$48:$C$57,3,FALSE),1)</f>
        <v>0.97860968051050168</v>
      </c>
      <c r="BV116" s="4">
        <f>AVERAGE(Granger_Inventory[[#This Row],[qual_adj]:[living_range_adj]])</f>
        <v>0.9777956681236839</v>
      </c>
      <c r="BW116" s="8">
        <f>(Granger_Inventory[[#This Row],[sum_land]]-IF(Granger_Inventory[[#This Row],[no_utilities]]=1,12000,0))/IF(Granger_Inventory[[#This Row],[unbuildable]]=1,2,1)</f>
        <v>46431.640060484584</v>
      </c>
      <c r="BX116" s="8">
        <f>Granger_Inventory[[#This Row],[pre_res]]*Granger_Inventory[[#This Row],[overall_adj]]</f>
        <v>198466.13925219586</v>
      </c>
      <c r="BY116">
        <f>IF(ROUND(Granger_Inventory[[#This Row],[adj_land]]*Lookups!$I$45,-2)&lt;Granger_Inventory[[#This Row],[min_land]],Granger_Inventory[[#This Row],[min_land]],ROUND(Granger_Inventory[[#This Row],[adj_land]]*Lookups!$I$45,-2))</f>
        <v>44100</v>
      </c>
      <c r="BZ116">
        <f>ROUND(Granger_Inventory[[#This Row],[detatched_value]]*Lookups!$I$45,-2)</f>
        <v>0</v>
      </c>
      <c r="CA116">
        <f>IF(ROUND(Granger_Inventory[[#This Row],[adj_res]]*Lookups!$I$45,-2)&lt;Granger_Inventory[[#This Row],[min_res]],Granger_Inventory[[#This Row],[min_res]],ROUND(Granger_Inventory[[#This Row],[adj_res]]*Lookups!$I$45,-2))</f>
        <v>188500</v>
      </c>
      <c r="CB116">
        <f>Granger_Inventory[[#This Row],[final_det]]+Granger_Inventory[[#This Row],[final_res]]</f>
        <v>188500</v>
      </c>
      <c r="CC116">
        <f>Granger_Inventory[[#This Row],[final_land]]+Granger_Inventory[[#This Row],[final_imp]]+Granger_Inventory[[#This Row],[crop_value]]</f>
        <v>232600</v>
      </c>
      <c r="CE116" t="str">
        <f t="shared" si="1"/>
        <v>update valuation set market_land =44100, market_bldg=188500, market_total =232600, market_mdno =402, market_date ='9/10/2023' where link_id = (select link_id from parcel where parcel_year = '2024' and parcel_id = '21101633410');</v>
      </c>
    </row>
    <row r="117" spans="1:83" x14ac:dyDescent="0.25">
      <c r="A117">
        <v>21101633411</v>
      </c>
      <c r="B117">
        <v>0.99</v>
      </c>
      <c r="C117">
        <v>42919</v>
      </c>
      <c r="D117" t="s">
        <v>137</v>
      </c>
      <c r="E117" t="s">
        <v>54</v>
      </c>
      <c r="F117" t="s">
        <v>54</v>
      </c>
      <c r="G117">
        <v>3</v>
      </c>
      <c r="H117" t="s">
        <v>55</v>
      </c>
      <c r="I117">
        <v>330700</v>
      </c>
      <c r="J117">
        <v>35100</v>
      </c>
      <c r="K117">
        <v>0.99</v>
      </c>
      <c r="L117">
        <f>IF(Granger_Inventory[[#This Row],[parcel_acres]]-Granger_Inventory[[#This Row],[non_valued_acres]] =0,0,LN(Granger_Inventory[[#This Row],[parcel_acres]]-Granger_Inventory[[#This Row],[non_valued_acres]]))</f>
        <v>-1.0050335853501451E-2</v>
      </c>
      <c r="M117">
        <v>0</v>
      </c>
      <c r="N117">
        <v>0</v>
      </c>
      <c r="O117">
        <v>0</v>
      </c>
      <c r="P117">
        <v>47108.068500000001</v>
      </c>
      <c r="Q117">
        <v>122298</v>
      </c>
      <c r="R117">
        <f>(Granger_Inventory[[#This Row],[ln_acres]]*Granger_Inventory[[#This Row],[coeff]])+Granger_Inventory[[#This Row],[const]]</f>
        <v>121824.54809016525</v>
      </c>
      <c r="S117" t="s">
        <v>62</v>
      </c>
      <c r="T117">
        <v>2</v>
      </c>
      <c r="U117" t="s">
        <v>64</v>
      </c>
      <c r="V117" t="s">
        <v>77</v>
      </c>
      <c r="W117">
        <v>0</v>
      </c>
      <c r="X117">
        <v>0</v>
      </c>
      <c r="Y117">
        <v>50</v>
      </c>
      <c r="Z117">
        <v>71</v>
      </c>
      <c r="AA117">
        <v>80</v>
      </c>
      <c r="AB117">
        <v>3000</v>
      </c>
      <c r="AC117">
        <v>3000</v>
      </c>
      <c r="AD117">
        <v>2232</v>
      </c>
      <c r="AE117">
        <v>768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448</v>
      </c>
      <c r="AL117">
        <v>0</v>
      </c>
      <c r="AM117">
        <v>0</v>
      </c>
      <c r="AN117">
        <v>25</v>
      </c>
      <c r="AO117">
        <v>0</v>
      </c>
      <c r="AP117">
        <v>11</v>
      </c>
      <c r="AQ117">
        <v>0</v>
      </c>
      <c r="AR117">
        <v>1</v>
      </c>
      <c r="AS117" t="s">
        <v>59</v>
      </c>
      <c r="AT117">
        <v>1</v>
      </c>
      <c r="AU117" t="s">
        <v>60</v>
      </c>
      <c r="AV117" t="s">
        <v>61</v>
      </c>
      <c r="AW117">
        <v>1</v>
      </c>
      <c r="AX117">
        <v>5</v>
      </c>
      <c r="AY117">
        <v>0</v>
      </c>
      <c r="AZ117">
        <v>34000</v>
      </c>
      <c r="BA117">
        <v>100</v>
      </c>
      <c r="BB117">
        <v>100</v>
      </c>
      <c r="BC117">
        <v>100</v>
      </c>
      <c r="BD117">
        <v>100</v>
      </c>
      <c r="BE117">
        <v>1</v>
      </c>
      <c r="BF117">
        <v>15000</v>
      </c>
      <c r="BG117">
        <v>1000</v>
      </c>
      <c r="BH117" s="8">
        <f>Granger_Inventory[[#This Row],[land_extract]]*Lookups!$B$3</f>
        <v>72574.63549339262</v>
      </c>
      <c r="BI117" s="8">
        <f>IF(Granger_Inventory[[#This Row],[bldg_style]]="",0,Lookups!$B$2)</f>
        <v>29703.559000000001</v>
      </c>
      <c r="BJ117" s="8">
        <f>_xlfn.IFNA(VLOOKUP(Granger_Inventory[[#This Row],[quality]],Lookups!$H$2:$J$14,3,FALSE),0)</f>
        <v>36568</v>
      </c>
      <c r="BK117" s="8">
        <f>_xlfn.IFNA(VLOOKUP(Granger_Inventory[[#This Row],[condition]],Lookups!$H$17:$J$24,3,FALSE),0)</f>
        <v>33736</v>
      </c>
      <c r="BL117" s="8">
        <f>Granger_Inventory[[#This Row],[Age]]*Lookups!$B$16</f>
        <v>-14720.508099999999</v>
      </c>
      <c r="BM117" s="8">
        <f>Granger_Inventory[[#This Row],[living_area]]*Lookups!$B$17</f>
        <v>201818.72699999998</v>
      </c>
      <c r="BN117" s="8">
        <f>(Granger_Inventory[[#This Row],[att_gar]]+Granger_Inventory[[#This Row],[blt_gar]])*Lookups!$B$18</f>
        <v>0</v>
      </c>
      <c r="BO117" s="8">
        <f>Granger_Inventory[[#This Row],[Patio]]*Lookups!$B$19</f>
        <v>0</v>
      </c>
      <c r="BP117" s="8">
        <f>SUM(Granger_Inventory[[#This Row],[Intercept]:[Patio_Value]])*Granger_Inventory[[#This Row],[res_pct]]</f>
        <v>287105.77789999999</v>
      </c>
      <c r="BQ117" s="8">
        <f>Granger_Inventory[[#This Row],[land_value]]</f>
        <v>72574.63549339262</v>
      </c>
      <c r="BR117" s="4">
        <f>_xlfn.IFNA(VLOOKUP(Granger_Inventory[[#This Row],[quality]],Lookups!$A$25:$C$35,3,FALSE),1)</f>
        <v>0.99049976351917957</v>
      </c>
      <c r="BS117" s="4">
        <f>_xlfn.IFNA(VLOOKUP(Granger_Inventory[[#This Row],[condition]],Lookups!$A$38:$C$45,3,FALSE),1)</f>
        <v>0.92294678898076177</v>
      </c>
      <c r="BT117" s="4">
        <f>IF(Granger_Inventory[[#This Row],[decade]]="",1,_xlfn.IFNA(VLOOKUP(Granger_Inventory[[#This Row],[decade]],Lookups!$G$28:$I$42,3,FALSE),1))</f>
        <v>0.76006056002554967</v>
      </c>
      <c r="BU117" s="4">
        <f>_xlfn.IFNA(VLOOKUP(Granger_Inventory[[#This Row],[living_area_range]],Lookups!$A$48:$C$57,3,FALSE),1)</f>
        <v>0.99995754169072248</v>
      </c>
      <c r="BV117" s="4">
        <f>AVERAGE(Granger_Inventory[[#This Row],[qual_adj]:[living_range_adj]])</f>
        <v>0.91836616355405343</v>
      </c>
      <c r="BW117" s="8">
        <f>(Granger_Inventory[[#This Row],[sum_land]]-IF(Granger_Inventory[[#This Row],[no_utilities]]=1,12000,0))/IF(Granger_Inventory[[#This Row],[unbuildable]]=1,2,1)</f>
        <v>72574.63549339262</v>
      </c>
      <c r="BX117" s="8">
        <f>Granger_Inventory[[#This Row],[pre_res]]*Granger_Inventory[[#This Row],[overall_adj]]</f>
        <v>263668.23178422515</v>
      </c>
      <c r="BY117">
        <f>IF(ROUND(Granger_Inventory[[#This Row],[adj_land]]*Lookups!$I$45,-2)&lt;Granger_Inventory[[#This Row],[min_land]],Granger_Inventory[[#This Row],[min_land]],ROUND(Granger_Inventory[[#This Row],[adj_land]]*Lookups!$I$45,-2))</f>
        <v>68900</v>
      </c>
      <c r="BZ117">
        <f>ROUND(Granger_Inventory[[#This Row],[detatched_value]]*Lookups!$I$45,-2)</f>
        <v>32300</v>
      </c>
      <c r="CA117">
        <f>IF(ROUND(Granger_Inventory[[#This Row],[adj_res]]*Lookups!$I$45,-2)&lt;Granger_Inventory[[#This Row],[min_res]],Granger_Inventory[[#This Row],[min_res]],ROUND(Granger_Inventory[[#This Row],[adj_res]]*Lookups!$I$45,-2))</f>
        <v>250500</v>
      </c>
      <c r="CB117">
        <f>Granger_Inventory[[#This Row],[final_det]]+Granger_Inventory[[#This Row],[final_res]]</f>
        <v>282800</v>
      </c>
      <c r="CC117">
        <f>Granger_Inventory[[#This Row],[final_land]]+Granger_Inventory[[#This Row],[final_imp]]+Granger_Inventory[[#This Row],[crop_value]]</f>
        <v>351700</v>
      </c>
      <c r="CE117" t="str">
        <f t="shared" si="1"/>
        <v>update valuation set market_land =68900, market_bldg=282800, market_total =351700, market_mdno =402, market_date ='9/10/2023' where link_id = (select link_id from parcel where parcel_year = '2024' and parcel_id = '21101633411');</v>
      </c>
    </row>
    <row r="118" spans="1:83" x14ac:dyDescent="0.25">
      <c r="A118">
        <v>21101633432</v>
      </c>
      <c r="B118">
        <v>0.44</v>
      </c>
      <c r="C118">
        <v>19352</v>
      </c>
      <c r="D118" t="s">
        <v>137</v>
      </c>
      <c r="E118" t="s">
        <v>54</v>
      </c>
      <c r="F118" t="s">
        <v>54</v>
      </c>
      <c r="G118">
        <v>3</v>
      </c>
      <c r="H118" t="s">
        <v>55</v>
      </c>
      <c r="I118">
        <v>34300</v>
      </c>
      <c r="J118">
        <v>30600</v>
      </c>
      <c r="K118">
        <v>0.44</v>
      </c>
      <c r="L118">
        <f>IF(Granger_Inventory[[#This Row],[parcel_acres]]-Granger_Inventory[[#This Row],[non_valued_acres]] =0,0,LN(Granger_Inventory[[#This Row],[parcel_acres]]-Granger_Inventory[[#This Row],[non_valued_acres]]))</f>
        <v>-0.82098055206983023</v>
      </c>
      <c r="M118">
        <v>0</v>
      </c>
      <c r="N118">
        <v>0</v>
      </c>
      <c r="O118">
        <v>0</v>
      </c>
      <c r="P118">
        <v>47108.068500000001</v>
      </c>
      <c r="Q118">
        <v>122298</v>
      </c>
      <c r="R118">
        <f>(Granger_Inventory[[#This Row],[ln_acres]]*Granger_Inventory[[#This Row],[coeff]])+Granger_Inventory[[#This Row],[const]]</f>
        <v>83623.191915926611</v>
      </c>
      <c r="S118" t="s">
        <v>69</v>
      </c>
      <c r="T118">
        <v>1</v>
      </c>
      <c r="U118" t="s">
        <v>78</v>
      </c>
      <c r="V118" t="s">
        <v>79</v>
      </c>
      <c r="W118">
        <v>0</v>
      </c>
      <c r="X118">
        <v>0</v>
      </c>
      <c r="Y118">
        <v>38</v>
      </c>
      <c r="Z118">
        <v>93</v>
      </c>
      <c r="AA118">
        <v>100</v>
      </c>
      <c r="AB118">
        <v>1000</v>
      </c>
      <c r="AC118">
        <v>672</v>
      </c>
      <c r="AD118">
        <v>672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5</v>
      </c>
      <c r="AQ118">
        <v>0</v>
      </c>
      <c r="AR118">
        <v>0</v>
      </c>
      <c r="AS118" t="s">
        <v>59</v>
      </c>
      <c r="AT118">
        <v>1</v>
      </c>
      <c r="AU118" t="s">
        <v>76</v>
      </c>
      <c r="AV118" t="s">
        <v>65</v>
      </c>
      <c r="AW118">
        <v>0</v>
      </c>
      <c r="AX118">
        <v>2</v>
      </c>
      <c r="AY118">
        <v>0</v>
      </c>
      <c r="AZ118">
        <v>0</v>
      </c>
      <c r="BA118">
        <v>100</v>
      </c>
      <c r="BB118">
        <v>100</v>
      </c>
      <c r="BC118">
        <v>100</v>
      </c>
      <c r="BD118">
        <v>100</v>
      </c>
      <c r="BE118">
        <v>1</v>
      </c>
      <c r="BF118">
        <v>15000</v>
      </c>
      <c r="BG118">
        <v>1000</v>
      </c>
      <c r="BH118" s="8">
        <f>Granger_Inventory[[#This Row],[land_extract]]*Lookups!$B$3</f>
        <v>49816.911018628496</v>
      </c>
      <c r="BI118" s="8">
        <f>IF(Granger_Inventory[[#This Row],[bldg_style]]="",0,Lookups!$B$2)</f>
        <v>29703.559000000001</v>
      </c>
      <c r="BJ118" s="8">
        <f>_xlfn.IFNA(VLOOKUP(Granger_Inventory[[#This Row],[quality]],Lookups!$H$2:$J$14,3,FALSE),0)</f>
        <v>23737.786340274597</v>
      </c>
      <c r="BK118" s="8">
        <f>_xlfn.IFNA(VLOOKUP(Granger_Inventory[[#This Row],[condition]],Lookups!$H$17:$J$24,3,FALSE),0)</f>
        <v>86727</v>
      </c>
      <c r="BL118" s="8">
        <f>Granger_Inventory[[#This Row],[Age]]*Lookups!$B$16</f>
        <v>-19281.792300000001</v>
      </c>
      <c r="BM118" s="8">
        <f>Granger_Inventory[[#This Row],[living_area]]*Lookups!$B$17</f>
        <v>45207.394847999996</v>
      </c>
      <c r="BN118" s="8">
        <f>(Granger_Inventory[[#This Row],[att_gar]]+Granger_Inventory[[#This Row],[blt_gar]])*Lookups!$B$18</f>
        <v>0</v>
      </c>
      <c r="BO118" s="8">
        <f>Granger_Inventory[[#This Row],[Patio]]*Lookups!$B$19</f>
        <v>0</v>
      </c>
      <c r="BP118" s="8">
        <f>SUM(Granger_Inventory[[#This Row],[Intercept]:[Patio_Value]])*Granger_Inventory[[#This Row],[res_pct]]</f>
        <v>166093.94788827459</v>
      </c>
      <c r="BQ118" s="8">
        <f>Granger_Inventory[[#This Row],[land_value]]</f>
        <v>49816.911018628496</v>
      </c>
      <c r="BR118" s="4">
        <f>_xlfn.IFNA(VLOOKUP(Granger_Inventory[[#This Row],[quality]],Lookups!$A$25:$C$35,3,FALSE),1)</f>
        <v>0.77695375541795109</v>
      </c>
      <c r="BS118" s="4">
        <f>_xlfn.IFNA(VLOOKUP(Granger_Inventory[[#This Row],[condition]],Lookups!$A$38:$C$45,3,FALSE),1)</f>
        <v>0.85322907131620684</v>
      </c>
      <c r="BT118" s="4">
        <f>IF(Granger_Inventory[[#This Row],[decade]]="",1,_xlfn.IFNA(VLOOKUP(Granger_Inventory[[#This Row],[decade]],Lookups!$G$28:$I$42,3,FALSE),1))</f>
        <v>0.879441629375324</v>
      </c>
      <c r="BU118" s="4">
        <f>_xlfn.IFNA(VLOOKUP(Granger_Inventory[[#This Row],[living_area_range]],Lookups!$A$48:$C$57,3,FALSE),1)</f>
        <v>0.81272404900450645</v>
      </c>
      <c r="BV118" s="4">
        <f>AVERAGE(Granger_Inventory[[#This Row],[qual_adj]:[living_range_adj]])</f>
        <v>0.83058712627849718</v>
      </c>
      <c r="BW118" s="8">
        <f>(Granger_Inventory[[#This Row],[sum_land]]-IF(Granger_Inventory[[#This Row],[no_utilities]]=1,12000,0))/IF(Granger_Inventory[[#This Row],[unbuildable]]=1,2,1)</f>
        <v>49816.911018628496</v>
      </c>
      <c r="BX118" s="8">
        <f>Granger_Inventory[[#This Row],[pre_res]]*Granger_Inventory[[#This Row],[overall_adj]]</f>
        <v>137955.49486877245</v>
      </c>
      <c r="BY118">
        <f>IF(ROUND(Granger_Inventory[[#This Row],[adj_land]]*Lookups!$I$45,-2)&lt;Granger_Inventory[[#This Row],[min_land]],Granger_Inventory[[#This Row],[min_land]],ROUND(Granger_Inventory[[#This Row],[adj_land]]*Lookups!$I$45,-2))</f>
        <v>47300</v>
      </c>
      <c r="BZ118">
        <f>ROUND(Granger_Inventory[[#This Row],[detatched_value]]*Lookups!$I$45,-2)</f>
        <v>0</v>
      </c>
      <c r="CA118">
        <f>IF(ROUND(Granger_Inventory[[#This Row],[adj_res]]*Lookups!$I$45,-2)&lt;Granger_Inventory[[#This Row],[min_res]],Granger_Inventory[[#This Row],[min_res]],ROUND(Granger_Inventory[[#This Row],[adj_res]]*Lookups!$I$45,-2))</f>
        <v>131100</v>
      </c>
      <c r="CB118">
        <f>Granger_Inventory[[#This Row],[final_det]]+Granger_Inventory[[#This Row],[final_res]]</f>
        <v>131100</v>
      </c>
      <c r="CC118">
        <f>Granger_Inventory[[#This Row],[final_land]]+Granger_Inventory[[#This Row],[final_imp]]+Granger_Inventory[[#This Row],[crop_value]]</f>
        <v>178400</v>
      </c>
      <c r="CE118" t="str">
        <f t="shared" si="1"/>
        <v>update valuation set market_land =47300, market_bldg=131100, market_total =178400, market_mdno =402, market_date ='9/10/2023' where link_id = (select link_id from parcel where parcel_year = '2024' and parcel_id = '21101633432');</v>
      </c>
    </row>
    <row r="119" spans="1:83" x14ac:dyDescent="0.25">
      <c r="A119">
        <v>21101634401</v>
      </c>
      <c r="B119">
        <v>0.4</v>
      </c>
      <c r="C119">
        <v>17406</v>
      </c>
      <c r="D119" t="s">
        <v>137</v>
      </c>
      <c r="E119" t="s">
        <v>54</v>
      </c>
      <c r="F119" t="s">
        <v>54</v>
      </c>
      <c r="G119">
        <v>3</v>
      </c>
      <c r="H119" t="s">
        <v>55</v>
      </c>
      <c r="I119">
        <v>236700</v>
      </c>
      <c r="J119">
        <v>30100</v>
      </c>
      <c r="K119">
        <v>0.4</v>
      </c>
      <c r="L119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119">
        <v>0</v>
      </c>
      <c r="N119">
        <v>0</v>
      </c>
      <c r="O119">
        <v>0</v>
      </c>
      <c r="P119">
        <v>47108.068500000001</v>
      </c>
      <c r="Q119">
        <v>122298</v>
      </c>
      <c r="R119">
        <f>(Granger_Inventory[[#This Row],[ln_acres]]*Granger_Inventory[[#This Row],[coeff]])+Granger_Inventory[[#This Row],[const]]</f>
        <v>79133.313436957164</v>
      </c>
      <c r="S119" t="s">
        <v>66</v>
      </c>
      <c r="T119">
        <v>2</v>
      </c>
      <c r="U119" t="s">
        <v>64</v>
      </c>
      <c r="V119" t="s">
        <v>72</v>
      </c>
      <c r="W119">
        <v>0</v>
      </c>
      <c r="X119">
        <v>0</v>
      </c>
      <c r="Y119">
        <v>71</v>
      </c>
      <c r="Z119">
        <v>119</v>
      </c>
      <c r="AA119">
        <v>120</v>
      </c>
      <c r="AB119">
        <v>2000</v>
      </c>
      <c r="AC119">
        <v>1872</v>
      </c>
      <c r="AD119">
        <v>1086</v>
      </c>
      <c r="AE119">
        <v>786</v>
      </c>
      <c r="AF119">
        <v>0</v>
      </c>
      <c r="AG119">
        <v>0</v>
      </c>
      <c r="AH119">
        <v>1008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168</v>
      </c>
      <c r="AO119">
        <v>0</v>
      </c>
      <c r="AP119">
        <v>5</v>
      </c>
      <c r="AQ119">
        <v>0</v>
      </c>
      <c r="AR119">
        <v>0</v>
      </c>
      <c r="AS119" t="s">
        <v>59</v>
      </c>
      <c r="AT119">
        <v>1</v>
      </c>
      <c r="AU119" t="s">
        <v>63</v>
      </c>
      <c r="AV119" t="s">
        <v>65</v>
      </c>
      <c r="AW119">
        <v>1</v>
      </c>
      <c r="AX119">
        <v>4</v>
      </c>
      <c r="AY119">
        <v>0</v>
      </c>
      <c r="AZ119">
        <v>4700</v>
      </c>
      <c r="BA119">
        <v>100</v>
      </c>
      <c r="BB119">
        <v>100</v>
      </c>
      <c r="BC119">
        <v>100</v>
      </c>
      <c r="BD119">
        <v>100</v>
      </c>
      <c r="BE119">
        <v>1</v>
      </c>
      <c r="BF119">
        <v>15000</v>
      </c>
      <c r="BG119">
        <v>1000</v>
      </c>
      <c r="BH119" s="8">
        <f>Granger_Inventory[[#This Row],[land_extract]]*Lookups!$B$3</f>
        <v>47142.152120449238</v>
      </c>
      <c r="BI119" s="8">
        <f>IF(Granger_Inventory[[#This Row],[bldg_style]]="",0,Lookups!$B$2)</f>
        <v>29703.559000000001</v>
      </c>
      <c r="BJ119" s="8">
        <f>_xlfn.IFNA(VLOOKUP(Granger_Inventory[[#This Row],[quality]],Lookups!$H$2:$J$14,3,FALSE),0)</f>
        <v>36568</v>
      </c>
      <c r="BK119" s="8">
        <f>_xlfn.IFNA(VLOOKUP(Granger_Inventory[[#This Row],[condition]],Lookups!$H$17:$J$24,3,FALSE),0)</f>
        <v>94106</v>
      </c>
      <c r="BL119" s="8">
        <f>Granger_Inventory[[#This Row],[Age]]*Lookups!$B$16</f>
        <v>-24672.400900000001</v>
      </c>
      <c r="BM119" s="8">
        <f>Granger_Inventory[[#This Row],[living_area]]*Lookups!$B$17</f>
        <v>125934.885648</v>
      </c>
      <c r="BN119" s="8">
        <f>(Granger_Inventory[[#This Row],[att_gar]]+Granger_Inventory[[#This Row],[blt_gar]])*Lookups!$B$18</f>
        <v>0</v>
      </c>
      <c r="BO119" s="8">
        <f>Granger_Inventory[[#This Row],[Patio]]*Lookups!$B$19</f>
        <v>0</v>
      </c>
      <c r="BP119" s="8">
        <f>SUM(Granger_Inventory[[#This Row],[Intercept]:[Patio_Value]])*Granger_Inventory[[#This Row],[res_pct]]</f>
        <v>261640.043748</v>
      </c>
      <c r="BQ119" s="8">
        <f>Granger_Inventory[[#This Row],[land_value]]</f>
        <v>47142.152120449238</v>
      </c>
      <c r="BR119" s="4">
        <f>_xlfn.IFNA(VLOOKUP(Granger_Inventory[[#This Row],[quality]],Lookups!$A$25:$C$35,3,FALSE),1)</f>
        <v>0.99049976351917957</v>
      </c>
      <c r="BS119" s="4">
        <f>_xlfn.IFNA(VLOOKUP(Granger_Inventory[[#This Row],[condition]],Lookups!$A$38:$C$45,3,FALSE),1)</f>
        <v>0.98658583151544277</v>
      </c>
      <c r="BT119" s="4">
        <f>IF(Granger_Inventory[[#This Row],[decade]]="",1,_xlfn.IFNA(VLOOKUP(Granger_Inventory[[#This Row],[decade]],Lookups!$G$28:$I$42,3,FALSE),1))</f>
        <v>0.879441629375324</v>
      </c>
      <c r="BU119" s="4">
        <f>_xlfn.IFNA(VLOOKUP(Granger_Inventory[[#This Row],[living_area_range]],Lookups!$A$48:$C$57,3,FALSE),1)</f>
        <v>0.97860968051050168</v>
      </c>
      <c r="BV119" s="4">
        <f>AVERAGE(Granger_Inventory[[#This Row],[qual_adj]:[living_range_adj]])</f>
        <v>0.95878422623011206</v>
      </c>
      <c r="BW119" s="8">
        <f>(Granger_Inventory[[#This Row],[sum_land]]-IF(Granger_Inventory[[#This Row],[no_utilities]]=1,12000,0))/IF(Granger_Inventory[[#This Row],[unbuildable]]=1,2,1)</f>
        <v>47142.152120449238</v>
      </c>
      <c r="BX119" s="8">
        <f>Granger_Inventory[[#This Row],[pre_res]]*Granger_Inventory[[#This Row],[overall_adj]]</f>
        <v>250856.34689573885</v>
      </c>
      <c r="BY119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119">
        <f>ROUND(Granger_Inventory[[#This Row],[detatched_value]]*Lookups!$I$45,-2)</f>
        <v>4500</v>
      </c>
      <c r="CA119">
        <f>IF(ROUND(Granger_Inventory[[#This Row],[adj_res]]*Lookups!$I$45,-2)&lt;Granger_Inventory[[#This Row],[min_res]],Granger_Inventory[[#This Row],[min_res]],ROUND(Granger_Inventory[[#This Row],[adj_res]]*Lookups!$I$45,-2))</f>
        <v>238300</v>
      </c>
      <c r="CB119">
        <f>Granger_Inventory[[#This Row],[final_det]]+Granger_Inventory[[#This Row],[final_res]]</f>
        <v>242800</v>
      </c>
      <c r="CC119">
        <f>Granger_Inventory[[#This Row],[final_land]]+Granger_Inventory[[#This Row],[final_imp]]+Granger_Inventory[[#This Row],[crop_value]]</f>
        <v>287600</v>
      </c>
      <c r="CE119" t="str">
        <f t="shared" si="1"/>
        <v>update valuation set market_land =44800, market_bldg=242800, market_total =287600, market_mdno =402, market_date ='9/10/2023' where link_id = (select link_id from parcel where parcel_year = '2024' and parcel_id = '21101634401');</v>
      </c>
    </row>
    <row r="120" spans="1:83" x14ac:dyDescent="0.25">
      <c r="A120">
        <v>21101634411</v>
      </c>
      <c r="B120">
        <v>0.56000000000000005</v>
      </c>
      <c r="C120">
        <v>24297</v>
      </c>
      <c r="D120" t="s">
        <v>137</v>
      </c>
      <c r="E120" t="s">
        <v>54</v>
      </c>
      <c r="F120" t="s">
        <v>54</v>
      </c>
      <c r="G120">
        <v>3</v>
      </c>
      <c r="H120" t="s">
        <v>55</v>
      </c>
      <c r="I120">
        <v>203400</v>
      </c>
      <c r="J120">
        <v>31900</v>
      </c>
      <c r="K120">
        <v>0.56000000000000005</v>
      </c>
      <c r="L120">
        <f>IF(Granger_Inventory[[#This Row],[parcel_acres]]-Granger_Inventory[[#This Row],[non_valued_acres]] =0,0,LN(Granger_Inventory[[#This Row],[parcel_acres]]-Granger_Inventory[[#This Row],[non_valued_acres]]))</f>
        <v>-0.57981849525294205</v>
      </c>
      <c r="M120">
        <v>0</v>
      </c>
      <c r="N120">
        <v>0</v>
      </c>
      <c r="O120">
        <v>0</v>
      </c>
      <c r="P120">
        <v>47108.068500000001</v>
      </c>
      <c r="Q120">
        <v>122298</v>
      </c>
      <c r="R120">
        <f>(Granger_Inventory[[#This Row],[ln_acres]]*Granger_Inventory[[#This Row],[coeff]])+Granger_Inventory[[#This Row],[const]]</f>
        <v>94983.870608057478</v>
      </c>
      <c r="S120" t="s">
        <v>69</v>
      </c>
      <c r="T120">
        <v>1</v>
      </c>
      <c r="U120" t="s">
        <v>64</v>
      </c>
      <c r="V120" t="s">
        <v>72</v>
      </c>
      <c r="W120">
        <v>0</v>
      </c>
      <c r="X120">
        <v>0</v>
      </c>
      <c r="Y120">
        <v>51</v>
      </c>
      <c r="Z120">
        <v>83</v>
      </c>
      <c r="AA120">
        <v>90</v>
      </c>
      <c r="AB120">
        <v>1500</v>
      </c>
      <c r="AC120">
        <v>1496</v>
      </c>
      <c r="AD120">
        <v>1496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72</v>
      </c>
      <c r="AO120">
        <v>0</v>
      </c>
      <c r="AP120">
        <v>11</v>
      </c>
      <c r="AQ120">
        <v>0</v>
      </c>
      <c r="AR120">
        <v>1</v>
      </c>
      <c r="AS120" t="s">
        <v>59</v>
      </c>
      <c r="AT120">
        <v>1</v>
      </c>
      <c r="AU120" t="s">
        <v>68</v>
      </c>
      <c r="AV120" t="s">
        <v>65</v>
      </c>
      <c r="AW120">
        <v>0</v>
      </c>
      <c r="AX120">
        <v>3</v>
      </c>
      <c r="AY120">
        <v>0</v>
      </c>
      <c r="AZ120">
        <v>5000</v>
      </c>
      <c r="BA120">
        <v>100</v>
      </c>
      <c r="BB120">
        <v>100</v>
      </c>
      <c r="BC120">
        <v>100</v>
      </c>
      <c r="BD120">
        <v>100</v>
      </c>
      <c r="BE120">
        <v>1</v>
      </c>
      <c r="BF120">
        <v>15000</v>
      </c>
      <c r="BG120">
        <v>1000</v>
      </c>
      <c r="BH120" s="8">
        <f>Granger_Inventory[[#This Row],[land_extract]]*Lookups!$B$3</f>
        <v>56584.81722443457</v>
      </c>
      <c r="BI120" s="8">
        <f>IF(Granger_Inventory[[#This Row],[bldg_style]]="",0,Lookups!$B$2)</f>
        <v>29703.559000000001</v>
      </c>
      <c r="BJ120" s="8">
        <f>_xlfn.IFNA(VLOOKUP(Granger_Inventory[[#This Row],[quality]],Lookups!$H$2:$J$14,3,FALSE),0)</f>
        <v>36568</v>
      </c>
      <c r="BK120" s="8">
        <f>_xlfn.IFNA(VLOOKUP(Granger_Inventory[[#This Row],[condition]],Lookups!$H$17:$J$24,3,FALSE),0)</f>
        <v>94106</v>
      </c>
      <c r="BL120" s="8">
        <f>Granger_Inventory[[#This Row],[Age]]*Lookups!$B$16</f>
        <v>-17208.481299999999</v>
      </c>
      <c r="BM120" s="8">
        <f>Granger_Inventory[[#This Row],[living_area]]*Lookups!$B$17</f>
        <v>100640.27186399999</v>
      </c>
      <c r="BN120" s="8">
        <f>(Granger_Inventory[[#This Row],[att_gar]]+Granger_Inventory[[#This Row],[blt_gar]])*Lookups!$B$18</f>
        <v>0</v>
      </c>
      <c r="BO120" s="8">
        <f>Granger_Inventory[[#This Row],[Patio]]*Lookups!$B$19</f>
        <v>0</v>
      </c>
      <c r="BP120" s="8">
        <f>SUM(Granger_Inventory[[#This Row],[Intercept]:[Patio_Value]])*Granger_Inventory[[#This Row],[res_pct]]</f>
        <v>243809.34956400003</v>
      </c>
      <c r="BQ120" s="8">
        <f>Granger_Inventory[[#This Row],[land_value]]</f>
        <v>56584.81722443457</v>
      </c>
      <c r="BR120" s="4">
        <f>_xlfn.IFNA(VLOOKUP(Granger_Inventory[[#This Row],[quality]],Lookups!$A$25:$C$35,3,FALSE),1)</f>
        <v>0.99049976351917957</v>
      </c>
      <c r="BS120" s="4">
        <f>_xlfn.IFNA(VLOOKUP(Granger_Inventory[[#This Row],[condition]],Lookups!$A$38:$C$45,3,FALSE),1)</f>
        <v>0.98658583151544277</v>
      </c>
      <c r="BT120" s="4">
        <f>IF(Granger_Inventory[[#This Row],[decade]]="",1,_xlfn.IFNA(VLOOKUP(Granger_Inventory[[#This Row],[decade]],Lookups!$G$28:$I$42,3,FALSE),1))</f>
        <v>0.95234610137492615</v>
      </c>
      <c r="BU120" s="4">
        <f>_xlfn.IFNA(VLOOKUP(Granger_Inventory[[#This Row],[living_area_range]],Lookups!$A$48:$C$57,3,FALSE),1)</f>
        <v>0.97960506760539345</v>
      </c>
      <c r="BV120" s="4">
        <f>AVERAGE(Granger_Inventory[[#This Row],[qual_adj]:[living_range_adj]])</f>
        <v>0.97725919100373548</v>
      </c>
      <c r="BW120" s="8">
        <f>(Granger_Inventory[[#This Row],[sum_land]]-IF(Granger_Inventory[[#This Row],[no_utilities]]=1,12000,0))/IF(Granger_Inventory[[#This Row],[unbuildable]]=1,2,1)</f>
        <v>56584.81722443457</v>
      </c>
      <c r="BX120" s="8">
        <f>Granger_Inventory[[#This Row],[pre_res]]*Granger_Inventory[[#This Row],[overall_adj]]</f>
        <v>238264.92771406163</v>
      </c>
      <c r="BY120">
        <f>IF(ROUND(Granger_Inventory[[#This Row],[adj_land]]*Lookups!$I$45,-2)&lt;Granger_Inventory[[#This Row],[min_land]],Granger_Inventory[[#This Row],[min_land]],ROUND(Granger_Inventory[[#This Row],[adj_land]]*Lookups!$I$45,-2))</f>
        <v>53800</v>
      </c>
      <c r="BZ120">
        <f>ROUND(Granger_Inventory[[#This Row],[detatched_value]]*Lookups!$I$45,-2)</f>
        <v>4800</v>
      </c>
      <c r="CA120">
        <f>IF(ROUND(Granger_Inventory[[#This Row],[adj_res]]*Lookups!$I$45,-2)&lt;Granger_Inventory[[#This Row],[min_res]],Granger_Inventory[[#This Row],[min_res]],ROUND(Granger_Inventory[[#This Row],[adj_res]]*Lookups!$I$45,-2))</f>
        <v>226400</v>
      </c>
      <c r="CB120">
        <f>Granger_Inventory[[#This Row],[final_det]]+Granger_Inventory[[#This Row],[final_res]]</f>
        <v>231200</v>
      </c>
      <c r="CC120">
        <f>Granger_Inventory[[#This Row],[final_land]]+Granger_Inventory[[#This Row],[final_imp]]+Granger_Inventory[[#This Row],[crop_value]]</f>
        <v>285000</v>
      </c>
      <c r="CE120" t="str">
        <f t="shared" si="1"/>
        <v>update valuation set market_land =53800, market_bldg=231200, market_total =285000, market_mdno =402, market_date ='9/10/2023' where link_id = (select link_id from parcel where parcel_year = '2024' and parcel_id = '21101634411');</v>
      </c>
    </row>
    <row r="121" spans="1:83" x14ac:dyDescent="0.25">
      <c r="A121">
        <v>21101634415</v>
      </c>
      <c r="B121">
        <v>0.28999999999999998</v>
      </c>
      <c r="C121">
        <v>12616</v>
      </c>
      <c r="D121" t="s">
        <v>137</v>
      </c>
      <c r="E121" t="s">
        <v>54</v>
      </c>
      <c r="F121" t="s">
        <v>54</v>
      </c>
      <c r="G121">
        <v>3</v>
      </c>
      <c r="H121" t="s">
        <v>55</v>
      </c>
      <c r="I121">
        <v>87400</v>
      </c>
      <c r="J121">
        <v>28300</v>
      </c>
      <c r="K121">
        <v>0.28999999999999998</v>
      </c>
      <c r="L121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121">
        <v>0</v>
      </c>
      <c r="N121">
        <v>0</v>
      </c>
      <c r="O121">
        <v>0</v>
      </c>
      <c r="P121">
        <v>47108.068500000001</v>
      </c>
      <c r="Q121">
        <v>122298</v>
      </c>
      <c r="R121">
        <f>(Granger_Inventory[[#This Row],[ln_acres]]*Granger_Inventory[[#This Row],[coeff]])+Granger_Inventory[[#This Row],[const]]</f>
        <v>63984.130043082419</v>
      </c>
      <c r="S121" t="s">
        <v>69</v>
      </c>
      <c r="T121">
        <v>1</v>
      </c>
      <c r="U121" t="s">
        <v>106</v>
      </c>
      <c r="V121" t="s">
        <v>72</v>
      </c>
      <c r="W121">
        <v>0</v>
      </c>
      <c r="X121">
        <v>0</v>
      </c>
      <c r="Y121">
        <v>50</v>
      </c>
      <c r="Z121">
        <v>73</v>
      </c>
      <c r="AA121">
        <v>80</v>
      </c>
      <c r="AB121">
        <v>1000</v>
      </c>
      <c r="AC121">
        <v>760</v>
      </c>
      <c r="AD121">
        <v>760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180</v>
      </c>
      <c r="AL121">
        <v>0</v>
      </c>
      <c r="AM121">
        <v>0</v>
      </c>
      <c r="AN121">
        <v>0</v>
      </c>
      <c r="AO121">
        <v>0</v>
      </c>
      <c r="AP121">
        <v>5</v>
      </c>
      <c r="AQ121">
        <v>0</v>
      </c>
      <c r="AR121">
        <v>0</v>
      </c>
      <c r="AS121" t="s">
        <v>59</v>
      </c>
      <c r="AT121">
        <v>0</v>
      </c>
      <c r="AU121" t="s">
        <v>142</v>
      </c>
      <c r="AV121" t="s">
        <v>143</v>
      </c>
      <c r="AW121">
        <v>0</v>
      </c>
      <c r="AX121">
        <v>2</v>
      </c>
      <c r="AY121">
        <v>0</v>
      </c>
      <c r="AZ121">
        <v>0</v>
      </c>
      <c r="BA121">
        <v>100</v>
      </c>
      <c r="BB121">
        <v>100</v>
      </c>
      <c r="BC121">
        <v>100</v>
      </c>
      <c r="BD121">
        <v>100</v>
      </c>
      <c r="BE121">
        <v>1</v>
      </c>
      <c r="BF121">
        <v>15000</v>
      </c>
      <c r="BG121">
        <v>1000</v>
      </c>
      <c r="BH121" s="8">
        <f>Granger_Inventory[[#This Row],[land_extract]]*Lookups!$B$3</f>
        <v>38117.316977869523</v>
      </c>
      <c r="BI121" s="8">
        <f>IF(Granger_Inventory[[#This Row],[bldg_style]]="",0,Lookups!$B$2)</f>
        <v>29703.559000000001</v>
      </c>
      <c r="BJ121" s="8">
        <f>_xlfn.IFNA(VLOOKUP(Granger_Inventory[[#This Row],[quality]],Lookups!$H$2:$J$14,3,FALSE),0)</f>
        <v>17985.540667792327</v>
      </c>
      <c r="BK121" s="8">
        <f>_xlfn.IFNA(VLOOKUP(Granger_Inventory[[#This Row],[condition]],Lookups!$H$17:$J$24,3,FALSE),0)</f>
        <v>94106</v>
      </c>
      <c r="BL121" s="8">
        <f>Granger_Inventory[[#This Row],[Age]]*Lookups!$B$16</f>
        <v>-15135.1703</v>
      </c>
      <c r="BM121" s="8">
        <f>Granger_Inventory[[#This Row],[living_area]]*Lookups!$B$17</f>
        <v>51127.410839999997</v>
      </c>
      <c r="BN121" s="8">
        <f>(Granger_Inventory[[#This Row],[att_gar]]+Granger_Inventory[[#This Row],[blt_gar]])*Lookups!$B$18</f>
        <v>0</v>
      </c>
      <c r="BO121" s="8">
        <f>Granger_Inventory[[#This Row],[Patio]]*Lookups!$B$19</f>
        <v>0</v>
      </c>
      <c r="BP121" s="8">
        <f>SUM(Granger_Inventory[[#This Row],[Intercept]:[Patio_Value]])*Granger_Inventory[[#This Row],[res_pct]]</f>
        <v>177787.34020779232</v>
      </c>
      <c r="BQ121" s="8">
        <f>Granger_Inventory[[#This Row],[land_value]]</f>
        <v>38117.316977869523</v>
      </c>
      <c r="BR121" s="4">
        <f>_xlfn.IFNA(VLOOKUP(Granger_Inventory[[#This Row],[quality]],Lookups!$A$25:$C$35,3,FALSE),1)</f>
        <v>0.77695375541795109</v>
      </c>
      <c r="BS121" s="4">
        <f>_xlfn.IFNA(VLOOKUP(Granger_Inventory[[#This Row],[condition]],Lookups!$A$38:$C$45,3,FALSE),1)</f>
        <v>0.98658583151544277</v>
      </c>
      <c r="BT121" s="4">
        <f>IF(Granger_Inventory[[#This Row],[decade]]="",1,_xlfn.IFNA(VLOOKUP(Granger_Inventory[[#This Row],[decade]],Lookups!$G$28:$I$42,3,FALSE),1))</f>
        <v>0.76006056002554967</v>
      </c>
      <c r="BU121" s="4">
        <f>_xlfn.IFNA(VLOOKUP(Granger_Inventory[[#This Row],[living_area_range]],Lookups!$A$48:$C$57,3,FALSE),1)</f>
        <v>0.81272404900450645</v>
      </c>
      <c r="BV121" s="4">
        <f>AVERAGE(Granger_Inventory[[#This Row],[qual_adj]:[living_range_adj]])</f>
        <v>0.83408104899086255</v>
      </c>
      <c r="BW121" s="8">
        <f>(Granger_Inventory[[#This Row],[sum_land]]-IF(Granger_Inventory[[#This Row],[no_utilities]]=1,12000,0))/IF(Granger_Inventory[[#This Row],[unbuildable]]=1,2,1)</f>
        <v>38117.316977869523</v>
      </c>
      <c r="BX121" s="8">
        <f>Granger_Inventory[[#This Row],[pre_res]]*Granger_Inventory[[#This Row],[overall_adj]]</f>
        <v>148289.05121781077</v>
      </c>
      <c r="BY121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121">
        <f>ROUND(Granger_Inventory[[#This Row],[detatched_value]]*Lookups!$I$45,-2)</f>
        <v>0</v>
      </c>
      <c r="CA121">
        <f>IF(ROUND(Granger_Inventory[[#This Row],[adj_res]]*Lookups!$I$45,-2)&lt;Granger_Inventory[[#This Row],[min_res]],Granger_Inventory[[#This Row],[min_res]],ROUND(Granger_Inventory[[#This Row],[adj_res]]*Lookups!$I$45,-2))</f>
        <v>140900</v>
      </c>
      <c r="CB121">
        <f>Granger_Inventory[[#This Row],[final_det]]+Granger_Inventory[[#This Row],[final_res]]</f>
        <v>140900</v>
      </c>
      <c r="CC121">
        <f>Granger_Inventory[[#This Row],[final_land]]+Granger_Inventory[[#This Row],[final_imp]]+Granger_Inventory[[#This Row],[crop_value]]</f>
        <v>177100</v>
      </c>
      <c r="CE121" t="str">
        <f t="shared" si="1"/>
        <v>update valuation set market_land =36200, market_bldg=140900, market_total =177100, market_mdno =402, market_date ='9/10/2023' where link_id = (select link_id from parcel where parcel_year = '2024' and parcel_id = '21101634415');</v>
      </c>
    </row>
    <row r="122" spans="1:83" x14ac:dyDescent="0.25">
      <c r="A122">
        <v>21101634442</v>
      </c>
      <c r="B122">
        <v>0.19</v>
      </c>
      <c r="C122">
        <v>8430</v>
      </c>
      <c r="D122" t="s">
        <v>137</v>
      </c>
      <c r="E122" t="s">
        <v>54</v>
      </c>
      <c r="F122" t="s">
        <v>54</v>
      </c>
      <c r="G122">
        <v>3</v>
      </c>
      <c r="H122" t="s">
        <v>55</v>
      </c>
      <c r="I122">
        <v>245800</v>
      </c>
      <c r="J122">
        <v>25900</v>
      </c>
      <c r="K122">
        <v>0.19</v>
      </c>
      <c r="L122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122">
        <v>0</v>
      </c>
      <c r="N122">
        <v>0</v>
      </c>
      <c r="O122">
        <v>0</v>
      </c>
      <c r="P122">
        <v>47108.068500000001</v>
      </c>
      <c r="Q122">
        <v>122298</v>
      </c>
      <c r="R122">
        <f>(Granger_Inventory[[#This Row],[ln_acres]]*Granger_Inventory[[#This Row],[coeff]])+Granger_Inventory[[#This Row],[const]]</f>
        <v>44064.160548957996</v>
      </c>
      <c r="S122" t="s">
        <v>59</v>
      </c>
      <c r="T122">
        <v>1</v>
      </c>
      <c r="U122" t="s">
        <v>64</v>
      </c>
      <c r="V122" t="s">
        <v>77</v>
      </c>
      <c r="W122">
        <v>0</v>
      </c>
      <c r="X122">
        <v>0</v>
      </c>
      <c r="Y122">
        <v>28</v>
      </c>
      <c r="Z122">
        <v>28</v>
      </c>
      <c r="AA122">
        <v>30</v>
      </c>
      <c r="AB122">
        <v>2000</v>
      </c>
      <c r="AC122">
        <v>1890</v>
      </c>
      <c r="AD122">
        <v>1890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468</v>
      </c>
      <c r="AL122">
        <v>0</v>
      </c>
      <c r="AM122">
        <v>0</v>
      </c>
      <c r="AN122">
        <v>0</v>
      </c>
      <c r="AO122">
        <v>0</v>
      </c>
      <c r="AP122">
        <v>11</v>
      </c>
      <c r="AQ122">
        <v>0</v>
      </c>
      <c r="AR122">
        <v>0</v>
      </c>
      <c r="AS122" t="s">
        <v>59</v>
      </c>
      <c r="AT122">
        <v>1</v>
      </c>
      <c r="AU122" t="s">
        <v>60</v>
      </c>
      <c r="AV122" t="s">
        <v>65</v>
      </c>
      <c r="AW122">
        <v>1</v>
      </c>
      <c r="AX122">
        <v>5</v>
      </c>
      <c r="AY122">
        <v>0</v>
      </c>
      <c r="AZ122">
        <v>0</v>
      </c>
      <c r="BA122">
        <v>100</v>
      </c>
      <c r="BB122">
        <v>100</v>
      </c>
      <c r="BC122">
        <v>100</v>
      </c>
      <c r="BD122">
        <v>100</v>
      </c>
      <c r="BE122">
        <v>1</v>
      </c>
      <c r="BF122">
        <v>15000</v>
      </c>
      <c r="BG122">
        <v>1000</v>
      </c>
      <c r="BH122" s="8">
        <f>Granger_Inventory[[#This Row],[land_extract]]*Lookups!$B$3</f>
        <v>26250.377615159185</v>
      </c>
      <c r="BI122" s="8">
        <f>IF(Granger_Inventory[[#This Row],[bldg_style]]="",0,Lookups!$B$2)</f>
        <v>29703.559000000001</v>
      </c>
      <c r="BJ122" s="8">
        <f>_xlfn.IFNA(VLOOKUP(Granger_Inventory[[#This Row],[quality]],Lookups!$H$2:$J$14,3,FALSE),0)</f>
        <v>36568</v>
      </c>
      <c r="BK122" s="8">
        <f>_xlfn.IFNA(VLOOKUP(Granger_Inventory[[#This Row],[condition]],Lookups!$H$17:$J$24,3,FALSE),0)</f>
        <v>33736</v>
      </c>
      <c r="BL122" s="8">
        <f>Granger_Inventory[[#This Row],[Age]]*Lookups!$B$16</f>
        <v>-5805.2708000000002</v>
      </c>
      <c r="BM122" s="8">
        <f>Granger_Inventory[[#This Row],[living_area]]*Lookups!$B$17</f>
        <v>127145.79801</v>
      </c>
      <c r="BN122" s="8">
        <f>(Granger_Inventory[[#This Row],[att_gar]]+Granger_Inventory[[#This Row],[blt_gar]])*Lookups!$B$18</f>
        <v>0</v>
      </c>
      <c r="BO122" s="8">
        <f>Granger_Inventory[[#This Row],[Patio]]*Lookups!$B$19</f>
        <v>0</v>
      </c>
      <c r="BP122" s="8">
        <f>SUM(Granger_Inventory[[#This Row],[Intercept]:[Patio_Value]])*Granger_Inventory[[#This Row],[res_pct]]</f>
        <v>221348.08621000001</v>
      </c>
      <c r="BQ122" s="8">
        <f>Granger_Inventory[[#This Row],[land_value]]</f>
        <v>26250.377615159185</v>
      </c>
      <c r="BR122" s="4">
        <f>_xlfn.IFNA(VLOOKUP(Granger_Inventory[[#This Row],[quality]],Lookups!$A$25:$C$35,3,FALSE),1)</f>
        <v>0.99049976351917957</v>
      </c>
      <c r="BS122" s="4">
        <f>_xlfn.IFNA(VLOOKUP(Granger_Inventory[[#This Row],[condition]],Lookups!$A$38:$C$45,3,FALSE),1)</f>
        <v>0.92294678898076177</v>
      </c>
      <c r="BT122" s="4">
        <f>IF(Granger_Inventory[[#This Row],[decade]]="",1,_xlfn.IFNA(VLOOKUP(Granger_Inventory[[#This Row],[decade]],Lookups!$G$28:$I$42,3,FALSE),1))</f>
        <v>1.0539470644652671</v>
      </c>
      <c r="BU122" s="4">
        <f>_xlfn.IFNA(VLOOKUP(Granger_Inventory[[#This Row],[living_area_range]],Lookups!$A$48:$C$57,3,FALSE),1)</f>
        <v>0.97860968051050168</v>
      </c>
      <c r="BV122" s="4">
        <f>AVERAGE(Granger_Inventory[[#This Row],[qual_adj]:[living_range_adj]])</f>
        <v>0.9865008243689275</v>
      </c>
      <c r="BW122" s="8">
        <f>(Granger_Inventory[[#This Row],[sum_land]]-IF(Granger_Inventory[[#This Row],[no_utilities]]=1,12000,0))/IF(Granger_Inventory[[#This Row],[unbuildable]]=1,2,1)</f>
        <v>26250.377615159185</v>
      </c>
      <c r="BX122" s="8">
        <f>Granger_Inventory[[#This Row],[pre_res]]*Granger_Inventory[[#This Row],[overall_adj]]</f>
        <v>218360.06951864943</v>
      </c>
      <c r="BY122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122">
        <f>ROUND(Granger_Inventory[[#This Row],[detatched_value]]*Lookups!$I$45,-2)</f>
        <v>0</v>
      </c>
      <c r="CA122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22">
        <f>Granger_Inventory[[#This Row],[final_det]]+Granger_Inventory[[#This Row],[final_res]]</f>
        <v>207400</v>
      </c>
      <c r="CC122">
        <f>Granger_Inventory[[#This Row],[final_land]]+Granger_Inventory[[#This Row],[final_imp]]+Granger_Inventory[[#This Row],[crop_value]]</f>
        <v>232300</v>
      </c>
      <c r="CE122" t="str">
        <f t="shared" si="1"/>
        <v>update valuation set market_land =24900, market_bldg=207400, market_total =232300, market_mdno =402, market_date ='9/10/2023' where link_id = (select link_id from parcel where parcel_year = '2024' and parcel_id = '21101634442');</v>
      </c>
    </row>
    <row r="123" spans="1:83" x14ac:dyDescent="0.25">
      <c r="A123">
        <v>21101634443</v>
      </c>
      <c r="B123">
        <v>0.17</v>
      </c>
      <c r="C123">
        <v>7229</v>
      </c>
      <c r="D123" t="s">
        <v>137</v>
      </c>
      <c r="E123" t="s">
        <v>54</v>
      </c>
      <c r="F123" t="s">
        <v>54</v>
      </c>
      <c r="G123">
        <v>3</v>
      </c>
      <c r="H123" t="s">
        <v>55</v>
      </c>
      <c r="I123">
        <v>167500</v>
      </c>
      <c r="J123">
        <v>25300</v>
      </c>
      <c r="K123">
        <v>0.17</v>
      </c>
      <c r="L12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23">
        <v>0</v>
      </c>
      <c r="N123">
        <v>0</v>
      </c>
      <c r="O123">
        <v>0</v>
      </c>
      <c r="P123">
        <v>47108.068500000001</v>
      </c>
      <c r="Q123">
        <v>122298</v>
      </c>
      <c r="R123">
        <f>(Granger_Inventory[[#This Row],[ln_acres]]*Granger_Inventory[[#This Row],[coeff]])+Granger_Inventory[[#This Row],[const]]</f>
        <v>38824.535711229546</v>
      </c>
      <c r="S123" t="s">
        <v>59</v>
      </c>
      <c r="T123">
        <v>1</v>
      </c>
      <c r="U123" t="s">
        <v>71</v>
      </c>
      <c r="V123" t="s">
        <v>77</v>
      </c>
      <c r="W123">
        <v>0</v>
      </c>
      <c r="X123">
        <v>0</v>
      </c>
      <c r="Y123">
        <v>28</v>
      </c>
      <c r="Z123">
        <v>28</v>
      </c>
      <c r="AA123">
        <v>30</v>
      </c>
      <c r="AB123">
        <v>1500</v>
      </c>
      <c r="AC123">
        <v>1215</v>
      </c>
      <c r="AD123">
        <v>1215</v>
      </c>
      <c r="AE123">
        <v>0</v>
      </c>
      <c r="AF123">
        <v>0</v>
      </c>
      <c r="AG123">
        <v>0</v>
      </c>
      <c r="AH123">
        <v>0</v>
      </c>
      <c r="AI123">
        <v>378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8</v>
      </c>
      <c r="AQ123">
        <v>0</v>
      </c>
      <c r="AR123">
        <v>0</v>
      </c>
      <c r="AS123" t="s">
        <v>59</v>
      </c>
      <c r="AT123">
        <v>1</v>
      </c>
      <c r="AU123" t="s">
        <v>60</v>
      </c>
      <c r="AV123" t="s">
        <v>65</v>
      </c>
      <c r="AW123">
        <v>1</v>
      </c>
      <c r="AX123">
        <v>3</v>
      </c>
      <c r="AY123">
        <v>0</v>
      </c>
      <c r="AZ123">
        <v>0</v>
      </c>
      <c r="BA123">
        <v>100</v>
      </c>
      <c r="BB123">
        <v>100</v>
      </c>
      <c r="BC123">
        <v>100</v>
      </c>
      <c r="BD123">
        <v>100</v>
      </c>
      <c r="BE123">
        <v>1</v>
      </c>
      <c r="BF123">
        <v>15000</v>
      </c>
      <c r="BG123">
        <v>1000</v>
      </c>
      <c r="BH123" s="8">
        <f>Granger_Inventory[[#This Row],[land_extract]]*Lookups!$B$3</f>
        <v>23128.971718879347</v>
      </c>
      <c r="BI123" s="8">
        <f>IF(Granger_Inventory[[#This Row],[bldg_style]]="",0,Lookups!$B$2)</f>
        <v>29703.559000000001</v>
      </c>
      <c r="BJ123" s="8">
        <f>_xlfn.IFNA(VLOOKUP(Granger_Inventory[[#This Row],[quality]],Lookups!$H$2:$J$14,3,FALSE),0)</f>
        <v>34195</v>
      </c>
      <c r="BK123" s="8">
        <f>_xlfn.IFNA(VLOOKUP(Granger_Inventory[[#This Row],[condition]],Lookups!$H$17:$J$24,3,FALSE),0)</f>
        <v>33736</v>
      </c>
      <c r="BL123" s="8">
        <f>Granger_Inventory[[#This Row],[Age]]*Lookups!$B$16</f>
        <v>-5805.2708000000002</v>
      </c>
      <c r="BM123" s="8">
        <f>Granger_Inventory[[#This Row],[living_area]]*Lookups!$B$17</f>
        <v>81736.584434999997</v>
      </c>
      <c r="BN123" s="8">
        <f>(Granger_Inventory[[#This Row],[att_gar]]+Granger_Inventory[[#This Row],[blt_gar]])*Lookups!$B$18</f>
        <v>18313.187507999999</v>
      </c>
      <c r="BO123" s="8">
        <f>Granger_Inventory[[#This Row],[Patio]]*Lookups!$B$19</f>
        <v>0</v>
      </c>
      <c r="BP123" s="8">
        <f>SUM(Granger_Inventory[[#This Row],[Intercept]:[Patio_Value]])*Granger_Inventory[[#This Row],[res_pct]]</f>
        <v>191879.06014300001</v>
      </c>
      <c r="BQ123" s="8">
        <f>Granger_Inventory[[#This Row],[land_value]]</f>
        <v>23128.971718879347</v>
      </c>
      <c r="BR123" s="4">
        <f>_xlfn.IFNA(VLOOKUP(Granger_Inventory[[#This Row],[quality]],Lookups!$A$25:$C$35,3,FALSE),1)</f>
        <v>0.98258795897788032</v>
      </c>
      <c r="BS123" s="4">
        <f>_xlfn.IFNA(VLOOKUP(Granger_Inventory[[#This Row],[condition]],Lookups!$A$38:$C$45,3,FALSE),1)</f>
        <v>0.92294678898076177</v>
      </c>
      <c r="BT123" s="4">
        <f>IF(Granger_Inventory[[#This Row],[decade]]="",1,_xlfn.IFNA(VLOOKUP(Granger_Inventory[[#This Row],[decade]],Lookups!$G$28:$I$42,3,FALSE),1))</f>
        <v>1.0539470644652671</v>
      </c>
      <c r="BU123" s="4">
        <f>_xlfn.IFNA(VLOOKUP(Granger_Inventory[[#This Row],[living_area_range]],Lookups!$A$48:$C$57,3,FALSE),1)</f>
        <v>0.97960506760539345</v>
      </c>
      <c r="BV123" s="4">
        <f>AVERAGE(Granger_Inventory[[#This Row],[qual_adj]:[living_range_adj]])</f>
        <v>0.9847717200073256</v>
      </c>
      <c r="BW123" s="8">
        <f>(Granger_Inventory[[#This Row],[sum_land]]-IF(Granger_Inventory[[#This Row],[no_utilities]]=1,12000,0))/IF(Granger_Inventory[[#This Row],[unbuildable]]=1,2,1)</f>
        <v>23128.971718879347</v>
      </c>
      <c r="BX123" s="8">
        <f>Granger_Inventory[[#This Row],[pre_res]]*Granger_Inventory[[#This Row],[overall_adj]]</f>
        <v>188957.07209041121</v>
      </c>
      <c r="BY12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23">
        <f>ROUND(Granger_Inventory[[#This Row],[detatched_value]]*Lookups!$I$45,-2)</f>
        <v>0</v>
      </c>
      <c r="CA123">
        <f>IF(ROUND(Granger_Inventory[[#This Row],[adj_res]]*Lookups!$I$45,-2)&lt;Granger_Inventory[[#This Row],[min_res]],Granger_Inventory[[#This Row],[min_res]],ROUND(Granger_Inventory[[#This Row],[adj_res]]*Lookups!$I$45,-2))</f>
        <v>179500</v>
      </c>
      <c r="CB123">
        <f>Granger_Inventory[[#This Row],[final_det]]+Granger_Inventory[[#This Row],[final_res]]</f>
        <v>179500</v>
      </c>
      <c r="CC123">
        <f>Granger_Inventory[[#This Row],[final_land]]+Granger_Inventory[[#This Row],[final_imp]]+Granger_Inventory[[#This Row],[crop_value]]</f>
        <v>201500</v>
      </c>
      <c r="CE123" t="str">
        <f t="shared" si="1"/>
        <v>update valuation set market_land =22000, market_bldg=179500, market_total =201500, market_mdno =402, market_date ='9/10/2023' where link_id = (select link_id from parcel where parcel_year = '2024' and parcel_id = '21101634443');</v>
      </c>
    </row>
    <row r="124" spans="1:83" x14ac:dyDescent="0.25">
      <c r="A124">
        <v>21101634444</v>
      </c>
      <c r="B124">
        <v>0.15</v>
      </c>
      <c r="C124">
        <v>6646</v>
      </c>
      <c r="D124" t="s">
        <v>137</v>
      </c>
      <c r="E124" t="s">
        <v>54</v>
      </c>
      <c r="F124" t="s">
        <v>54</v>
      </c>
      <c r="G124">
        <v>3</v>
      </c>
      <c r="H124" t="s">
        <v>55</v>
      </c>
      <c r="I124">
        <v>118100</v>
      </c>
      <c r="J124">
        <v>24600</v>
      </c>
      <c r="K124">
        <v>0.15</v>
      </c>
      <c r="L12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24">
        <v>0</v>
      </c>
      <c r="N124">
        <v>0</v>
      </c>
      <c r="O124">
        <v>0</v>
      </c>
      <c r="P124">
        <v>47108.068500000001</v>
      </c>
      <c r="Q124">
        <v>122298</v>
      </c>
      <c r="R124">
        <f>(Granger_Inventory[[#This Row],[ln_acres]]*Granger_Inventory[[#This Row],[coeff]])+Granger_Inventory[[#This Row],[const]]</f>
        <v>32928.341799276939</v>
      </c>
      <c r="S124" t="s">
        <v>56</v>
      </c>
      <c r="T124">
        <v>1</v>
      </c>
      <c r="U124" t="s">
        <v>71</v>
      </c>
      <c r="V124" t="s">
        <v>79</v>
      </c>
      <c r="W124">
        <v>0</v>
      </c>
      <c r="X124">
        <v>0</v>
      </c>
      <c r="Y124">
        <v>28</v>
      </c>
      <c r="Z124">
        <v>28</v>
      </c>
      <c r="AA124">
        <v>30</v>
      </c>
      <c r="AB124">
        <v>1500</v>
      </c>
      <c r="AC124">
        <v>1408</v>
      </c>
      <c r="AD124">
        <v>1408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8</v>
      </c>
      <c r="AQ124">
        <v>0</v>
      </c>
      <c r="AR124">
        <v>0</v>
      </c>
      <c r="AS124" t="s">
        <v>59</v>
      </c>
      <c r="AT124">
        <v>1</v>
      </c>
      <c r="AU124" t="s">
        <v>60</v>
      </c>
      <c r="AV124" t="s">
        <v>65</v>
      </c>
      <c r="AW124">
        <v>1</v>
      </c>
      <c r="AX124">
        <v>3</v>
      </c>
      <c r="AY124">
        <v>0</v>
      </c>
      <c r="AZ124">
        <v>0</v>
      </c>
      <c r="BA124">
        <v>100</v>
      </c>
      <c r="BB124">
        <v>100</v>
      </c>
      <c r="BC124">
        <v>100</v>
      </c>
      <c r="BD124">
        <v>100</v>
      </c>
      <c r="BE124">
        <v>1</v>
      </c>
      <c r="BF124">
        <v>15000</v>
      </c>
      <c r="BG124">
        <v>1000</v>
      </c>
      <c r="BH124" s="8">
        <f>Granger_Inventory[[#This Row],[land_extract]]*Lookups!$B$3</f>
        <v>19616.42740275669</v>
      </c>
      <c r="BI124" s="8">
        <f>IF(Granger_Inventory[[#This Row],[bldg_style]]="",0,Lookups!$B$2)</f>
        <v>29703.559000000001</v>
      </c>
      <c r="BJ124" s="8">
        <f>_xlfn.IFNA(VLOOKUP(Granger_Inventory[[#This Row],[quality]],Lookups!$H$2:$J$14,3,FALSE),0)</f>
        <v>34195</v>
      </c>
      <c r="BK124" s="8">
        <f>_xlfn.IFNA(VLOOKUP(Granger_Inventory[[#This Row],[condition]],Lookups!$H$17:$J$24,3,FALSE),0)</f>
        <v>86727</v>
      </c>
      <c r="BL124" s="8">
        <f>Granger_Inventory[[#This Row],[Age]]*Lookups!$B$16</f>
        <v>-5805.2708000000002</v>
      </c>
      <c r="BM124" s="8">
        <f>Granger_Inventory[[#This Row],[living_area]]*Lookups!$B$17</f>
        <v>94720.255871999994</v>
      </c>
      <c r="BN124" s="8">
        <f>(Granger_Inventory[[#This Row],[att_gar]]+Granger_Inventory[[#This Row],[blt_gar]])*Lookups!$B$18</f>
        <v>0</v>
      </c>
      <c r="BO124" s="8">
        <f>Granger_Inventory[[#This Row],[Patio]]*Lookups!$B$19</f>
        <v>0</v>
      </c>
      <c r="BP124" s="8">
        <f>SUM(Granger_Inventory[[#This Row],[Intercept]:[Patio_Value]])*Granger_Inventory[[#This Row],[res_pct]]</f>
        <v>239540.54407200002</v>
      </c>
      <c r="BQ124" s="8">
        <f>Granger_Inventory[[#This Row],[land_value]]</f>
        <v>19616.42740275669</v>
      </c>
      <c r="BR124" s="4">
        <f>_xlfn.IFNA(VLOOKUP(Granger_Inventory[[#This Row],[quality]],Lookups!$A$25:$C$35,3,FALSE),1)</f>
        <v>0.98258795897788032</v>
      </c>
      <c r="BS124" s="4">
        <f>_xlfn.IFNA(VLOOKUP(Granger_Inventory[[#This Row],[condition]],Lookups!$A$38:$C$45,3,FALSE),1)</f>
        <v>0.85322907131620684</v>
      </c>
      <c r="BT124" s="4">
        <f>IF(Granger_Inventory[[#This Row],[decade]]="",1,_xlfn.IFNA(VLOOKUP(Granger_Inventory[[#This Row],[decade]],Lookups!$G$28:$I$42,3,FALSE),1))</f>
        <v>1.0539470644652671</v>
      </c>
      <c r="BU124" s="4">
        <f>_xlfn.IFNA(VLOOKUP(Granger_Inventory[[#This Row],[living_area_range]],Lookups!$A$48:$C$57,3,FALSE),1)</f>
        <v>0.97960506760539345</v>
      </c>
      <c r="BV124" s="4">
        <f>AVERAGE(Granger_Inventory[[#This Row],[qual_adj]:[living_range_adj]])</f>
        <v>0.96734229059118704</v>
      </c>
      <c r="BW124" s="8">
        <f>(Granger_Inventory[[#This Row],[sum_land]]-IF(Granger_Inventory[[#This Row],[no_utilities]]=1,12000,0))/IF(Granger_Inventory[[#This Row],[unbuildable]]=1,2,1)</f>
        <v>19616.42740275669</v>
      </c>
      <c r="BX124" s="8">
        <f>Granger_Inventory[[#This Row],[pre_res]]*Granger_Inventory[[#This Row],[overall_adj]]</f>
        <v>231717.6985920677</v>
      </c>
      <c r="BY12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24">
        <f>ROUND(Granger_Inventory[[#This Row],[detatched_value]]*Lookups!$I$45,-2)</f>
        <v>0</v>
      </c>
      <c r="CA124">
        <f>IF(ROUND(Granger_Inventory[[#This Row],[adj_res]]*Lookups!$I$45,-2)&lt;Granger_Inventory[[#This Row],[min_res]],Granger_Inventory[[#This Row],[min_res]],ROUND(Granger_Inventory[[#This Row],[adj_res]]*Lookups!$I$45,-2))</f>
        <v>220100</v>
      </c>
      <c r="CB124">
        <f>Granger_Inventory[[#This Row],[final_det]]+Granger_Inventory[[#This Row],[final_res]]</f>
        <v>220100</v>
      </c>
      <c r="CC124">
        <f>Granger_Inventory[[#This Row],[final_land]]+Granger_Inventory[[#This Row],[final_imp]]+Granger_Inventory[[#This Row],[crop_value]]</f>
        <v>238700</v>
      </c>
      <c r="CE124" t="str">
        <f t="shared" si="1"/>
        <v>update valuation set market_land =18600, market_bldg=220100, market_total =238700, market_mdno =402, market_date ='9/10/2023' where link_id = (select link_id from parcel where parcel_year = '2024' and parcel_id = '21101634444');</v>
      </c>
    </row>
    <row r="125" spans="1:83" x14ac:dyDescent="0.25">
      <c r="A125">
        <v>21101641005</v>
      </c>
      <c r="B125">
        <v>3.61</v>
      </c>
      <c r="C125">
        <v>157134</v>
      </c>
      <c r="D125" t="s">
        <v>137</v>
      </c>
      <c r="E125" t="s">
        <v>54</v>
      </c>
      <c r="F125" t="s">
        <v>54</v>
      </c>
      <c r="G125">
        <v>3</v>
      </c>
      <c r="H125" t="s">
        <v>55</v>
      </c>
      <c r="I125">
        <v>129900</v>
      </c>
      <c r="J125">
        <v>42300</v>
      </c>
      <c r="K125">
        <v>3.61</v>
      </c>
      <c r="L125">
        <f>IF(Granger_Inventory[[#This Row],[parcel_acres]]-Granger_Inventory[[#This Row],[non_valued_acres]] =0,0,LN(Granger_Inventory[[#This Row],[parcel_acres]]-Granger_Inventory[[#This Row],[non_valued_acres]]))</f>
        <v>1.2837077723447896</v>
      </c>
      <c r="M125">
        <v>0</v>
      </c>
      <c r="N125">
        <v>0</v>
      </c>
      <c r="O125">
        <v>0</v>
      </c>
      <c r="P125">
        <v>47108.068500000001</v>
      </c>
      <c r="Q125">
        <v>122298</v>
      </c>
      <c r="R125">
        <f>(Granger_Inventory[[#This Row],[ln_acres]]*Granger_Inventory[[#This Row],[coeff]])+Granger_Inventory[[#This Row],[const]]</f>
        <v>182770.99367360075</v>
      </c>
      <c r="S125" t="s">
        <v>56</v>
      </c>
      <c r="T125">
        <v>1</v>
      </c>
      <c r="U125" t="s">
        <v>64</v>
      </c>
      <c r="V125" t="s">
        <v>79</v>
      </c>
      <c r="W125">
        <v>0</v>
      </c>
      <c r="X125">
        <v>0</v>
      </c>
      <c r="Y125">
        <v>48</v>
      </c>
      <c r="Z125">
        <v>62</v>
      </c>
      <c r="AA125">
        <v>70</v>
      </c>
      <c r="AB125">
        <v>2000</v>
      </c>
      <c r="AC125">
        <v>1584</v>
      </c>
      <c r="AD125">
        <v>1584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7</v>
      </c>
      <c r="AQ125">
        <v>0</v>
      </c>
      <c r="AR125">
        <v>1</v>
      </c>
      <c r="AS125" t="s">
        <v>81</v>
      </c>
      <c r="AT125">
        <v>1</v>
      </c>
      <c r="AU125" t="s">
        <v>76</v>
      </c>
      <c r="AV125" t="s">
        <v>65</v>
      </c>
      <c r="AW125">
        <v>0</v>
      </c>
      <c r="AX125">
        <v>3</v>
      </c>
      <c r="AY125">
        <v>0</v>
      </c>
      <c r="AZ125">
        <v>0</v>
      </c>
      <c r="BA125">
        <v>100</v>
      </c>
      <c r="BB125">
        <v>100</v>
      </c>
      <c r="BC125">
        <v>100</v>
      </c>
      <c r="BD125">
        <v>100</v>
      </c>
      <c r="BE125">
        <v>1</v>
      </c>
      <c r="BF125">
        <v>15000</v>
      </c>
      <c r="BG125">
        <v>1000</v>
      </c>
      <c r="BH125" s="8">
        <f>Granger_Inventory[[#This Row],[land_extract]]*Lookups!$B$3</f>
        <v>108882.31027796911</v>
      </c>
      <c r="BI125" s="8">
        <f>IF(Granger_Inventory[[#This Row],[bldg_style]]="",0,Lookups!$B$2)</f>
        <v>29703.559000000001</v>
      </c>
      <c r="BJ125" s="8">
        <f>_xlfn.IFNA(VLOOKUP(Granger_Inventory[[#This Row],[quality]],Lookups!$H$2:$J$14,3,FALSE),0)</f>
        <v>36568</v>
      </c>
      <c r="BK125" s="8">
        <f>_xlfn.IFNA(VLOOKUP(Granger_Inventory[[#This Row],[condition]],Lookups!$H$17:$J$24,3,FALSE),0)</f>
        <v>86727</v>
      </c>
      <c r="BL125" s="8">
        <f>Granger_Inventory[[#This Row],[Age]]*Lookups!$B$16</f>
        <v>-12854.528199999999</v>
      </c>
      <c r="BM125" s="8">
        <f>Granger_Inventory[[#This Row],[living_area]]*Lookups!$B$17</f>
        <v>106560.287856</v>
      </c>
      <c r="BN125" s="8">
        <f>(Granger_Inventory[[#This Row],[att_gar]]+Granger_Inventory[[#This Row],[blt_gar]])*Lookups!$B$18</f>
        <v>0</v>
      </c>
      <c r="BO125" s="8">
        <f>Granger_Inventory[[#This Row],[Patio]]*Lookups!$B$19</f>
        <v>0</v>
      </c>
      <c r="BP125" s="8">
        <f>SUM(Granger_Inventory[[#This Row],[Intercept]:[Patio_Value]])*Granger_Inventory[[#This Row],[res_pct]]</f>
        <v>246704.31865600002</v>
      </c>
      <c r="BQ125" s="8">
        <f>Granger_Inventory[[#This Row],[land_value]]</f>
        <v>108882.31027796911</v>
      </c>
      <c r="BR125" s="4">
        <f>_xlfn.IFNA(VLOOKUP(Granger_Inventory[[#This Row],[quality]],Lookups!$A$25:$C$35,3,FALSE),1)</f>
        <v>0.99049976351917957</v>
      </c>
      <c r="BS125" s="4">
        <f>_xlfn.IFNA(VLOOKUP(Granger_Inventory[[#This Row],[condition]],Lookups!$A$38:$C$45,3,FALSE),1)</f>
        <v>0.85322907131620684</v>
      </c>
      <c r="BT125" s="4">
        <f>IF(Granger_Inventory[[#This Row],[decade]]="",1,_xlfn.IFNA(VLOOKUP(Granger_Inventory[[#This Row],[decade]],Lookups!$G$28:$I$42,3,FALSE),1))</f>
        <v>1.0270382440255921</v>
      </c>
      <c r="BU125" s="4">
        <f>_xlfn.IFNA(VLOOKUP(Granger_Inventory[[#This Row],[living_area_range]],Lookups!$A$48:$C$57,3,FALSE),1)</f>
        <v>0.97860968051050168</v>
      </c>
      <c r="BV125" s="4">
        <f>AVERAGE(Granger_Inventory[[#This Row],[qual_adj]:[living_range_adj]])</f>
        <v>0.96234418984287007</v>
      </c>
      <c r="BW125" s="8">
        <f>(Granger_Inventory[[#This Row],[sum_land]]-IF(Granger_Inventory[[#This Row],[no_utilities]]=1,12000,0))/IF(Granger_Inventory[[#This Row],[unbuildable]]=1,2,1)</f>
        <v>108882.31027796911</v>
      </c>
      <c r="BX125" s="8">
        <f>Granger_Inventory[[#This Row],[pre_res]]*Granger_Inventory[[#This Row],[overall_adj]]</f>
        <v>237414.4676677456</v>
      </c>
      <c r="BY125">
        <f>IF(ROUND(Granger_Inventory[[#This Row],[adj_land]]*Lookups!$I$45,-2)&lt;Granger_Inventory[[#This Row],[min_land]],Granger_Inventory[[#This Row],[min_land]],ROUND(Granger_Inventory[[#This Row],[adj_land]]*Lookups!$I$45,-2))</f>
        <v>103400</v>
      </c>
      <c r="BZ125">
        <f>ROUND(Granger_Inventory[[#This Row],[detatched_value]]*Lookups!$I$45,-2)</f>
        <v>0</v>
      </c>
      <c r="CA125">
        <f>IF(ROUND(Granger_Inventory[[#This Row],[adj_res]]*Lookups!$I$45,-2)&lt;Granger_Inventory[[#This Row],[min_res]],Granger_Inventory[[#This Row],[min_res]],ROUND(Granger_Inventory[[#This Row],[adj_res]]*Lookups!$I$45,-2))</f>
        <v>225500</v>
      </c>
      <c r="CB125">
        <f>Granger_Inventory[[#This Row],[final_det]]+Granger_Inventory[[#This Row],[final_res]]</f>
        <v>225500</v>
      </c>
      <c r="CC125">
        <f>Granger_Inventory[[#This Row],[final_land]]+Granger_Inventory[[#This Row],[final_imp]]+Granger_Inventory[[#This Row],[crop_value]]</f>
        <v>328900</v>
      </c>
      <c r="CE125" t="str">
        <f t="shared" si="1"/>
        <v>update valuation set market_land =103400, market_bldg=225500, market_total =328900, market_mdno =402, market_date ='9/10/2023' where link_id = (select link_id from parcel where parcel_year = '2024' and parcel_id = '21101641005');</v>
      </c>
    </row>
    <row r="126" spans="1:83" x14ac:dyDescent="0.25">
      <c r="A126">
        <v>21101641492</v>
      </c>
      <c r="B126">
        <v>0.14000000000000001</v>
      </c>
      <c r="C126">
        <v>5948</v>
      </c>
      <c r="D126" t="s">
        <v>137</v>
      </c>
      <c r="E126" t="s">
        <v>54</v>
      </c>
      <c r="F126" t="s">
        <v>54</v>
      </c>
      <c r="G126">
        <v>3</v>
      </c>
      <c r="H126" t="s">
        <v>55</v>
      </c>
      <c r="I126">
        <v>254000</v>
      </c>
      <c r="J126">
        <v>25900</v>
      </c>
      <c r="K126">
        <v>0.14000000000000001</v>
      </c>
      <c r="L12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26">
        <v>0</v>
      </c>
      <c r="N126">
        <v>0</v>
      </c>
      <c r="O126">
        <v>0</v>
      </c>
      <c r="P126">
        <v>47108.068500000001</v>
      </c>
      <c r="Q126">
        <v>122298</v>
      </c>
      <c r="R126">
        <f>(Granger_Inventory[[#This Row],[ln_acres]]*Granger_Inventory[[#This Row],[coeff]])+Granger_Inventory[[#This Row],[const]]</f>
        <v>29678.220883257934</v>
      </c>
      <c r="S126" t="s">
        <v>69</v>
      </c>
      <c r="T126">
        <v>2</v>
      </c>
      <c r="U126" t="s">
        <v>57</v>
      </c>
      <c r="V126" t="s">
        <v>70</v>
      </c>
      <c r="W126">
        <v>0</v>
      </c>
      <c r="X126">
        <v>0</v>
      </c>
      <c r="Y126">
        <v>9</v>
      </c>
      <c r="Z126">
        <v>9</v>
      </c>
      <c r="AA126">
        <v>10</v>
      </c>
      <c r="AB126">
        <v>2500</v>
      </c>
      <c r="AC126">
        <v>2212</v>
      </c>
      <c r="AD126">
        <v>1764</v>
      </c>
      <c r="AE126">
        <v>448</v>
      </c>
      <c r="AF126">
        <v>0</v>
      </c>
      <c r="AG126">
        <v>0</v>
      </c>
      <c r="AH126">
        <v>0</v>
      </c>
      <c r="AI126">
        <v>280</v>
      </c>
      <c r="AJ126">
        <v>0</v>
      </c>
      <c r="AK126">
        <v>0</v>
      </c>
      <c r="AL126">
        <v>0</v>
      </c>
      <c r="AM126">
        <v>0</v>
      </c>
      <c r="AN126">
        <v>84</v>
      </c>
      <c r="AO126">
        <v>0</v>
      </c>
      <c r="AP126">
        <v>11</v>
      </c>
      <c r="AQ126">
        <v>0</v>
      </c>
      <c r="AR126">
        <v>0</v>
      </c>
      <c r="AS126" t="s">
        <v>59</v>
      </c>
      <c r="AT126">
        <v>1</v>
      </c>
      <c r="AU126" t="s">
        <v>63</v>
      </c>
      <c r="AV126" t="s">
        <v>65</v>
      </c>
      <c r="AW126">
        <v>1</v>
      </c>
      <c r="AX126">
        <v>5</v>
      </c>
      <c r="AY126">
        <v>0</v>
      </c>
      <c r="AZ126">
        <v>0</v>
      </c>
      <c r="BA126">
        <v>100</v>
      </c>
      <c r="BB126">
        <v>100</v>
      </c>
      <c r="BC126">
        <v>100</v>
      </c>
      <c r="BD126">
        <v>76</v>
      </c>
      <c r="BE126">
        <v>0.76</v>
      </c>
      <c r="BF126">
        <v>15000</v>
      </c>
      <c r="BG126">
        <v>1000</v>
      </c>
      <c r="BH126" s="8">
        <f>Granger_Inventory[[#This Row],[land_extract]]*Lookups!$B$3</f>
        <v>17680.230269359956</v>
      </c>
      <c r="BI126" s="8">
        <f>IF(Granger_Inventory[[#This Row],[bldg_style]]="",0,Lookups!$B$2)</f>
        <v>29703.559000000001</v>
      </c>
      <c r="BJ126" s="8">
        <f>_xlfn.IFNA(VLOOKUP(Granger_Inventory[[#This Row],[quality]],Lookups!$H$2:$J$14,3,FALSE),0)</f>
        <v>56414</v>
      </c>
      <c r="BK126" s="8">
        <f>_xlfn.IFNA(VLOOKUP(Granger_Inventory[[#This Row],[condition]],Lookups!$H$17:$J$24,3,FALSE),0)</f>
        <v>80695</v>
      </c>
      <c r="BL126" s="8">
        <f>Granger_Inventory[[#This Row],[Age]]*Lookups!$B$16</f>
        <v>-1865.9798999999998</v>
      </c>
      <c r="BM126" s="8">
        <f>Granger_Inventory[[#This Row],[living_area]]*Lookups!$B$17</f>
        <v>148807.67470800001</v>
      </c>
      <c r="BN126" s="8">
        <f>(Granger_Inventory[[#This Row],[att_gar]]+Granger_Inventory[[#This Row],[blt_gar]])*Lookups!$B$18</f>
        <v>13565.32408</v>
      </c>
      <c r="BO126" s="8">
        <f>Granger_Inventory[[#This Row],[Patio]]*Lookups!$B$19</f>
        <v>0</v>
      </c>
      <c r="BP126" s="8">
        <f>SUM(Granger_Inventory[[#This Row],[Intercept]:[Patio_Value]])*Granger_Inventory[[#This Row],[res_pct]]</f>
        <v>248762.87919487999</v>
      </c>
      <c r="BQ126" s="8">
        <f>Granger_Inventory[[#This Row],[land_value]]</f>
        <v>17680.230269359956</v>
      </c>
      <c r="BR126" s="4">
        <f>_xlfn.IFNA(VLOOKUP(Granger_Inventory[[#This Row],[quality]],Lookups!$A$25:$C$35,3,FALSE),1)</f>
        <v>0.98791809110152173</v>
      </c>
      <c r="BS126" s="4">
        <f>_xlfn.IFNA(VLOOKUP(Granger_Inventory[[#This Row],[condition]],Lookups!$A$38:$C$45,3,FALSE),1)</f>
        <v>0.99484195314749324</v>
      </c>
      <c r="BT126" s="4">
        <f>IF(Granger_Inventory[[#This Row],[decade]]="",1,_xlfn.IFNA(VLOOKUP(Granger_Inventory[[#This Row],[decade]],Lookups!$G$28:$I$42,3,FALSE),1))</f>
        <v>0.95532362136731586</v>
      </c>
      <c r="BU126" s="4">
        <f>_xlfn.IFNA(VLOOKUP(Granger_Inventory[[#This Row],[living_area_range]],Lookups!$A$48:$C$57,3,FALSE),1)</f>
        <v>1.0000039906678986</v>
      </c>
      <c r="BV126" s="4">
        <f>AVERAGE(Granger_Inventory[[#This Row],[qual_adj]:[living_range_adj]])</f>
        <v>0.98452191407105727</v>
      </c>
      <c r="BW126" s="8">
        <f>(Granger_Inventory[[#This Row],[sum_land]]-IF(Granger_Inventory[[#This Row],[no_utilities]]=1,12000,0))/IF(Granger_Inventory[[#This Row],[unbuildable]]=1,2,1)</f>
        <v>17680.230269359956</v>
      </c>
      <c r="BX126" s="8">
        <f>Granger_Inventory[[#This Row],[pre_res]]*Granger_Inventory[[#This Row],[overall_adj]]</f>
        <v>244912.50597477044</v>
      </c>
      <c r="BY12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26">
        <f>ROUND(Granger_Inventory[[#This Row],[detatched_value]]*Lookups!$I$45,-2)</f>
        <v>0</v>
      </c>
      <c r="CA126">
        <f>IF(ROUND(Granger_Inventory[[#This Row],[adj_res]]*Lookups!$I$45,-2)&lt;Granger_Inventory[[#This Row],[min_res]],Granger_Inventory[[#This Row],[min_res]],ROUND(Granger_Inventory[[#This Row],[adj_res]]*Lookups!$I$45,-2))</f>
        <v>232700</v>
      </c>
      <c r="CB126">
        <f>Granger_Inventory[[#This Row],[final_det]]+Granger_Inventory[[#This Row],[final_res]]</f>
        <v>232700</v>
      </c>
      <c r="CC126">
        <f>Granger_Inventory[[#This Row],[final_land]]+Granger_Inventory[[#This Row],[final_imp]]+Granger_Inventory[[#This Row],[crop_value]]</f>
        <v>249500</v>
      </c>
      <c r="CE126" t="str">
        <f t="shared" si="1"/>
        <v>update valuation set market_land =16800, market_bldg=232700, market_total =249500, market_mdno =402, market_date ='9/10/2023' where link_id = (select link_id from parcel where parcel_year = '2024' and parcel_id = '21101641492');</v>
      </c>
    </row>
    <row r="127" spans="1:83" x14ac:dyDescent="0.25">
      <c r="A127">
        <v>21101641493</v>
      </c>
      <c r="B127">
        <v>0.14000000000000001</v>
      </c>
      <c r="C127">
        <v>6246</v>
      </c>
      <c r="D127" t="s">
        <v>137</v>
      </c>
      <c r="E127" t="s">
        <v>54</v>
      </c>
      <c r="F127" t="s">
        <v>54</v>
      </c>
      <c r="G127">
        <v>3</v>
      </c>
      <c r="H127" t="s">
        <v>55</v>
      </c>
      <c r="I127">
        <v>0</v>
      </c>
      <c r="J127">
        <v>25400</v>
      </c>
      <c r="K127">
        <v>0.14000000000000001</v>
      </c>
      <c r="L12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27">
        <v>0</v>
      </c>
      <c r="N127">
        <v>0</v>
      </c>
      <c r="O127">
        <v>0</v>
      </c>
      <c r="P127">
        <v>47108.068500000001</v>
      </c>
      <c r="Q127">
        <v>122298</v>
      </c>
      <c r="R127">
        <f>(Granger_Inventory[[#This Row],[ln_acres]]*Granger_Inventory[[#This Row],[coeff]])+Granger_Inventory[[#This Row],[const]]</f>
        <v>29678.220883257934</v>
      </c>
      <c r="S127" t="s">
        <v>62</v>
      </c>
      <c r="T127">
        <v>2</v>
      </c>
      <c r="U127" t="s">
        <v>61</v>
      </c>
      <c r="V127" t="s">
        <v>58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3500</v>
      </c>
      <c r="AC127">
        <v>3438</v>
      </c>
      <c r="AD127">
        <v>1806</v>
      </c>
      <c r="AE127">
        <v>1632</v>
      </c>
      <c r="AF127">
        <v>0</v>
      </c>
      <c r="AG127">
        <v>0</v>
      </c>
      <c r="AH127">
        <v>0</v>
      </c>
      <c r="AI127">
        <v>0</v>
      </c>
      <c r="AJ127">
        <v>299</v>
      </c>
      <c r="AK127">
        <v>559</v>
      </c>
      <c r="AL127">
        <v>0</v>
      </c>
      <c r="AM127">
        <v>0</v>
      </c>
      <c r="AN127">
        <v>475</v>
      </c>
      <c r="AO127">
        <v>0</v>
      </c>
      <c r="AP127">
        <v>16</v>
      </c>
      <c r="AQ127">
        <v>0</v>
      </c>
      <c r="AR127">
        <v>0</v>
      </c>
      <c r="AS127" t="s">
        <v>59</v>
      </c>
      <c r="AT127">
        <v>1</v>
      </c>
      <c r="AU127" t="s">
        <v>63</v>
      </c>
      <c r="AV127" t="s">
        <v>65</v>
      </c>
      <c r="AW127">
        <v>1</v>
      </c>
      <c r="AX127">
        <v>5</v>
      </c>
      <c r="AY127">
        <v>0</v>
      </c>
      <c r="AZ127">
        <v>0</v>
      </c>
      <c r="BA127">
        <v>100</v>
      </c>
      <c r="BB127">
        <v>100</v>
      </c>
      <c r="BC127">
        <v>100</v>
      </c>
      <c r="BD127">
        <v>40</v>
      </c>
      <c r="BE127">
        <v>0.4</v>
      </c>
      <c r="BF127">
        <v>15000</v>
      </c>
      <c r="BG127">
        <v>1000</v>
      </c>
      <c r="BH127" s="8">
        <f>Granger_Inventory[[#This Row],[land_extract]]*Lookups!$B$3</f>
        <v>17680.230269359956</v>
      </c>
      <c r="BI127" s="8">
        <f>IF(Granger_Inventory[[#This Row],[bldg_style]]="",0,Lookups!$B$2)</f>
        <v>29703.559000000001</v>
      </c>
      <c r="BJ127" s="8">
        <f>_xlfn.IFNA(VLOOKUP(Granger_Inventory[[#This Row],[quality]],Lookups!$H$2:$J$14,3,FALSE),0)</f>
        <v>71767</v>
      </c>
      <c r="BK127" s="8">
        <f>_xlfn.IFNA(VLOOKUP(Granger_Inventory[[#This Row],[condition]],Lookups!$H$17:$J$24,3,FALSE),0)</f>
        <v>101774</v>
      </c>
      <c r="BL127" s="8">
        <f>Granger_Inventory[[#This Row],[Age]]*Lookups!$B$16</f>
        <v>0</v>
      </c>
      <c r="BM127" s="8">
        <f>Granger_Inventory[[#This Row],[living_area]]*Lookups!$B$17</f>
        <v>231284.261142</v>
      </c>
      <c r="BN127" s="8">
        <f>(Granger_Inventory[[#This Row],[att_gar]]+Granger_Inventory[[#This Row],[blt_gar]])*Lookups!$B$18</f>
        <v>14485.828214000001</v>
      </c>
      <c r="BO127" s="8">
        <f>Granger_Inventory[[#This Row],[Patio]]*Lookups!$B$19</f>
        <v>0</v>
      </c>
      <c r="BP127" s="8">
        <f>SUM(Granger_Inventory[[#This Row],[Intercept]:[Patio_Value]])*Granger_Inventory[[#This Row],[res_pct]]</f>
        <v>179605.85934239998</v>
      </c>
      <c r="BQ127" s="8">
        <f>Granger_Inventory[[#This Row],[land_value]]</f>
        <v>17680.230269359956</v>
      </c>
      <c r="BR127" s="4">
        <f>_xlfn.IFNA(VLOOKUP(Granger_Inventory[[#This Row],[quality]],Lookups!$A$25:$C$35,3,FALSE),1)</f>
        <v>0.992092799099482</v>
      </c>
      <c r="BS127" s="4">
        <f>_xlfn.IFNA(VLOOKUP(Granger_Inventory[[#This Row],[condition]],Lookups!$A$38:$C$45,3,FALSE),1)</f>
        <v>0.99135053432734199</v>
      </c>
      <c r="BT127" s="4">
        <f>IF(Granger_Inventory[[#This Row],[decade]]="",1,_xlfn.IFNA(VLOOKUP(Granger_Inventory[[#This Row],[decade]],Lookups!$G$28:$I$42,3,FALSE),1))</f>
        <v>0.99951026660104636</v>
      </c>
      <c r="BU127" s="4">
        <f>_xlfn.IFNA(VLOOKUP(Granger_Inventory[[#This Row],[living_area_range]],Lookups!$A$48:$C$57,3,FALSE),1)</f>
        <v>0.99995754169072248</v>
      </c>
      <c r="BV127" s="4">
        <f>AVERAGE(Granger_Inventory[[#This Row],[qual_adj]:[living_range_adj]])</f>
        <v>0.99572778542964824</v>
      </c>
      <c r="BW127" s="8">
        <f>(Granger_Inventory[[#This Row],[sum_land]]-IF(Granger_Inventory[[#This Row],[no_utilities]]=1,12000,0))/IF(Granger_Inventory[[#This Row],[unbuildable]]=1,2,1)</f>
        <v>17680.230269359956</v>
      </c>
      <c r="BX127" s="8">
        <f>Granger_Inventory[[#This Row],[pre_res]]*Granger_Inventory[[#This Row],[overall_adj]]</f>
        <v>178838.54457319682</v>
      </c>
      <c r="BY12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27">
        <f>ROUND(Granger_Inventory[[#This Row],[detatched_value]]*Lookups!$I$45,-2)</f>
        <v>0</v>
      </c>
      <c r="CA127">
        <f>IF(ROUND(Granger_Inventory[[#This Row],[adj_res]]*Lookups!$I$45,-2)&lt;Granger_Inventory[[#This Row],[min_res]],Granger_Inventory[[#This Row],[min_res]],ROUND(Granger_Inventory[[#This Row],[adj_res]]*Lookups!$I$45,-2))</f>
        <v>169900</v>
      </c>
      <c r="CB127">
        <f>Granger_Inventory[[#This Row],[final_det]]+Granger_Inventory[[#This Row],[final_res]]</f>
        <v>169900</v>
      </c>
      <c r="CC127">
        <f>Granger_Inventory[[#This Row],[final_land]]+Granger_Inventory[[#This Row],[final_imp]]+Granger_Inventory[[#This Row],[crop_value]]</f>
        <v>186700</v>
      </c>
      <c r="CE127" t="str">
        <f t="shared" si="1"/>
        <v>update valuation set market_land =16800, market_bldg=169900, market_total =186700, market_mdno =402, market_date ='9/10/2023' where link_id = (select link_id from parcel where parcel_year = '2024' and parcel_id = '21101641493');</v>
      </c>
    </row>
    <row r="128" spans="1:83" x14ac:dyDescent="0.25">
      <c r="A128">
        <v>21101641494</v>
      </c>
      <c r="B128">
        <v>0.14000000000000001</v>
      </c>
      <c r="C128">
        <v>6097</v>
      </c>
      <c r="D128" t="s">
        <v>137</v>
      </c>
      <c r="E128" t="s">
        <v>54</v>
      </c>
      <c r="F128" t="s">
        <v>54</v>
      </c>
      <c r="G128">
        <v>3</v>
      </c>
      <c r="H128" t="s">
        <v>55</v>
      </c>
      <c r="I128">
        <v>302200</v>
      </c>
      <c r="J128">
        <v>25900</v>
      </c>
      <c r="K128">
        <v>0.14000000000000001</v>
      </c>
      <c r="L12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28">
        <v>0</v>
      </c>
      <c r="N128">
        <v>0</v>
      </c>
      <c r="O128">
        <v>0</v>
      </c>
      <c r="P128">
        <v>47108.068500000001</v>
      </c>
      <c r="Q128">
        <v>122298</v>
      </c>
      <c r="R128">
        <f>(Granger_Inventory[[#This Row],[ln_acres]]*Granger_Inventory[[#This Row],[coeff]])+Granger_Inventory[[#This Row],[const]]</f>
        <v>29678.220883257934</v>
      </c>
      <c r="S128" t="s">
        <v>69</v>
      </c>
      <c r="T128">
        <v>1</v>
      </c>
      <c r="U128" t="s">
        <v>57</v>
      </c>
      <c r="V128" t="s">
        <v>70</v>
      </c>
      <c r="W128">
        <v>0</v>
      </c>
      <c r="X128">
        <v>0</v>
      </c>
      <c r="Y128">
        <v>9</v>
      </c>
      <c r="Z128">
        <v>9</v>
      </c>
      <c r="AA128">
        <v>10</v>
      </c>
      <c r="AB128">
        <v>2000</v>
      </c>
      <c r="AC128">
        <v>1596</v>
      </c>
      <c r="AD128">
        <v>1596</v>
      </c>
      <c r="AE128">
        <v>0</v>
      </c>
      <c r="AF128">
        <v>0</v>
      </c>
      <c r="AG128">
        <v>0</v>
      </c>
      <c r="AH128">
        <v>0</v>
      </c>
      <c r="AI128">
        <v>273</v>
      </c>
      <c r="AJ128">
        <v>0</v>
      </c>
      <c r="AK128">
        <v>429</v>
      </c>
      <c r="AL128">
        <v>0</v>
      </c>
      <c r="AM128">
        <v>0</v>
      </c>
      <c r="AN128">
        <v>84</v>
      </c>
      <c r="AO128">
        <v>0</v>
      </c>
      <c r="AP128">
        <v>8</v>
      </c>
      <c r="AQ128">
        <v>0</v>
      </c>
      <c r="AR128">
        <v>0</v>
      </c>
      <c r="AS128" t="s">
        <v>59</v>
      </c>
      <c r="AT128">
        <v>1</v>
      </c>
      <c r="AU128" t="s">
        <v>60</v>
      </c>
      <c r="AV128" t="s">
        <v>65</v>
      </c>
      <c r="AW128">
        <v>1</v>
      </c>
      <c r="AX128">
        <v>3</v>
      </c>
      <c r="AY128">
        <v>0</v>
      </c>
      <c r="AZ128">
        <v>0</v>
      </c>
      <c r="BA128">
        <v>100</v>
      </c>
      <c r="BB128">
        <v>100</v>
      </c>
      <c r="BC128">
        <v>100</v>
      </c>
      <c r="BD128">
        <v>100</v>
      </c>
      <c r="BE128">
        <v>1</v>
      </c>
      <c r="BF128">
        <v>15000</v>
      </c>
      <c r="BG128">
        <v>1000</v>
      </c>
      <c r="BH128" s="8">
        <f>Granger_Inventory[[#This Row],[land_extract]]*Lookups!$B$3</f>
        <v>17680.230269359956</v>
      </c>
      <c r="BI128" s="8">
        <f>IF(Granger_Inventory[[#This Row],[bldg_style]]="",0,Lookups!$B$2)</f>
        <v>29703.559000000001</v>
      </c>
      <c r="BJ128" s="8">
        <f>_xlfn.IFNA(VLOOKUP(Granger_Inventory[[#This Row],[quality]],Lookups!$H$2:$J$14,3,FALSE),0)</f>
        <v>56414</v>
      </c>
      <c r="BK128" s="8">
        <f>_xlfn.IFNA(VLOOKUP(Granger_Inventory[[#This Row],[condition]],Lookups!$H$17:$J$24,3,FALSE),0)</f>
        <v>80695</v>
      </c>
      <c r="BL128" s="8">
        <f>Granger_Inventory[[#This Row],[Age]]*Lookups!$B$16</f>
        <v>-1865.9798999999998</v>
      </c>
      <c r="BM128" s="8">
        <f>Granger_Inventory[[#This Row],[living_area]]*Lookups!$B$17</f>
        <v>107367.562764</v>
      </c>
      <c r="BN128" s="8">
        <f>(Granger_Inventory[[#This Row],[att_gar]]+Granger_Inventory[[#This Row],[blt_gar]])*Lookups!$B$18</f>
        <v>13226.190978000001</v>
      </c>
      <c r="BO128" s="8">
        <f>Granger_Inventory[[#This Row],[Patio]]*Lookups!$B$19</f>
        <v>0</v>
      </c>
      <c r="BP128" s="8">
        <f>SUM(Granger_Inventory[[#This Row],[Intercept]:[Patio_Value]])*Granger_Inventory[[#This Row],[res_pct]]</f>
        <v>285540.332842</v>
      </c>
      <c r="BQ128" s="8">
        <f>Granger_Inventory[[#This Row],[land_value]]</f>
        <v>17680.230269359956</v>
      </c>
      <c r="BR128" s="4">
        <f>_xlfn.IFNA(VLOOKUP(Granger_Inventory[[#This Row],[quality]],Lookups!$A$25:$C$35,3,FALSE),1)</f>
        <v>0.98791809110152173</v>
      </c>
      <c r="BS128" s="4">
        <f>_xlfn.IFNA(VLOOKUP(Granger_Inventory[[#This Row],[condition]],Lookups!$A$38:$C$45,3,FALSE),1)</f>
        <v>0.99484195314749324</v>
      </c>
      <c r="BT128" s="4">
        <f>IF(Granger_Inventory[[#This Row],[decade]]="",1,_xlfn.IFNA(VLOOKUP(Granger_Inventory[[#This Row],[decade]],Lookups!$G$28:$I$42,3,FALSE),1))</f>
        <v>0.95532362136731586</v>
      </c>
      <c r="BU128" s="4">
        <f>_xlfn.IFNA(VLOOKUP(Granger_Inventory[[#This Row],[living_area_range]],Lookups!$A$48:$C$57,3,FALSE),1)</f>
        <v>0.97860968051050168</v>
      </c>
      <c r="BV128" s="4">
        <f>AVERAGE(Granger_Inventory[[#This Row],[qual_adj]:[living_range_adj]])</f>
        <v>0.97917333653170813</v>
      </c>
      <c r="BW128" s="8">
        <f>(Granger_Inventory[[#This Row],[sum_land]]-IF(Granger_Inventory[[#This Row],[no_utilities]]=1,12000,0))/IF(Granger_Inventory[[#This Row],[unbuildable]]=1,2,1)</f>
        <v>17680.230269359956</v>
      </c>
      <c r="BX128" s="8">
        <f>Granger_Inventory[[#This Row],[pre_res]]*Granger_Inventory[[#This Row],[overall_adj]]</f>
        <v>279593.48042327561</v>
      </c>
      <c r="BY12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28">
        <f>ROUND(Granger_Inventory[[#This Row],[detatched_value]]*Lookups!$I$45,-2)</f>
        <v>0</v>
      </c>
      <c r="CA128">
        <f>IF(ROUND(Granger_Inventory[[#This Row],[adj_res]]*Lookups!$I$45,-2)&lt;Granger_Inventory[[#This Row],[min_res]],Granger_Inventory[[#This Row],[min_res]],ROUND(Granger_Inventory[[#This Row],[adj_res]]*Lookups!$I$45,-2))</f>
        <v>265600</v>
      </c>
      <c r="CB128">
        <f>Granger_Inventory[[#This Row],[final_det]]+Granger_Inventory[[#This Row],[final_res]]</f>
        <v>265600</v>
      </c>
      <c r="CC128">
        <f>Granger_Inventory[[#This Row],[final_land]]+Granger_Inventory[[#This Row],[final_imp]]+Granger_Inventory[[#This Row],[crop_value]]</f>
        <v>282400</v>
      </c>
      <c r="CE128" t="str">
        <f t="shared" si="1"/>
        <v>update valuation set market_land =16800, market_bldg=265600, market_total =282400, market_mdno =402, market_date ='9/10/2023' where link_id = (select link_id from parcel where parcel_year = '2024' and parcel_id = '21101641494');</v>
      </c>
    </row>
    <row r="129" spans="1:83" x14ac:dyDescent="0.25">
      <c r="A129">
        <v>21101641499</v>
      </c>
      <c r="B129">
        <v>0.14000000000000001</v>
      </c>
      <c r="C129">
        <v>6150</v>
      </c>
      <c r="D129" t="s">
        <v>137</v>
      </c>
      <c r="E129" t="s">
        <v>54</v>
      </c>
      <c r="F129" t="s">
        <v>54</v>
      </c>
      <c r="G129">
        <v>3</v>
      </c>
      <c r="H129" t="s">
        <v>55</v>
      </c>
      <c r="I129">
        <v>303600</v>
      </c>
      <c r="J129">
        <v>25900</v>
      </c>
      <c r="K129">
        <v>0.14000000000000001</v>
      </c>
      <c r="L12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29">
        <v>0</v>
      </c>
      <c r="N129">
        <v>0</v>
      </c>
      <c r="O129">
        <v>0</v>
      </c>
      <c r="P129">
        <v>47108.068500000001</v>
      </c>
      <c r="Q129">
        <v>122298</v>
      </c>
      <c r="R129">
        <f>(Granger_Inventory[[#This Row],[ln_acres]]*Granger_Inventory[[#This Row],[coeff]])+Granger_Inventory[[#This Row],[const]]</f>
        <v>29678.220883257934</v>
      </c>
      <c r="S129" t="s">
        <v>59</v>
      </c>
      <c r="T129">
        <v>1</v>
      </c>
      <c r="U129" t="s">
        <v>57</v>
      </c>
      <c r="V129" t="s">
        <v>58</v>
      </c>
      <c r="W129">
        <v>0</v>
      </c>
      <c r="X129">
        <v>0</v>
      </c>
      <c r="Y129">
        <v>7</v>
      </c>
      <c r="Z129">
        <v>7</v>
      </c>
      <c r="AA129">
        <v>10</v>
      </c>
      <c r="AB129">
        <v>2000</v>
      </c>
      <c r="AC129">
        <v>1792</v>
      </c>
      <c r="AD129">
        <v>1792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192</v>
      </c>
      <c r="AO129">
        <v>0</v>
      </c>
      <c r="AP129">
        <v>11</v>
      </c>
      <c r="AQ129">
        <v>0</v>
      </c>
      <c r="AR129">
        <v>0</v>
      </c>
      <c r="AS129" t="s">
        <v>59</v>
      </c>
      <c r="AT129">
        <v>1</v>
      </c>
      <c r="AU129" t="s">
        <v>60</v>
      </c>
      <c r="AV129" t="s">
        <v>65</v>
      </c>
      <c r="AW129">
        <v>1</v>
      </c>
      <c r="AX129">
        <v>3</v>
      </c>
      <c r="AY129">
        <v>0</v>
      </c>
      <c r="AZ129">
        <v>0</v>
      </c>
      <c r="BA129">
        <v>100</v>
      </c>
      <c r="BB129">
        <v>100</v>
      </c>
      <c r="BC129">
        <v>100</v>
      </c>
      <c r="BD129">
        <v>100</v>
      </c>
      <c r="BE129">
        <v>1</v>
      </c>
      <c r="BF129">
        <v>15000</v>
      </c>
      <c r="BG129">
        <v>1000</v>
      </c>
      <c r="BH129" s="8">
        <f>Granger_Inventory[[#This Row],[land_extract]]*Lookups!$B$3</f>
        <v>17680.230269359956</v>
      </c>
      <c r="BI129" s="8">
        <f>IF(Granger_Inventory[[#This Row],[bldg_style]]="",0,Lookups!$B$2)</f>
        <v>29703.559000000001</v>
      </c>
      <c r="BJ129" s="8">
        <f>_xlfn.IFNA(VLOOKUP(Granger_Inventory[[#This Row],[quality]],Lookups!$H$2:$J$14,3,FALSE),0)</f>
        <v>56414</v>
      </c>
      <c r="BK129" s="8">
        <f>_xlfn.IFNA(VLOOKUP(Granger_Inventory[[#This Row],[condition]],Lookups!$H$17:$J$24,3,FALSE),0)</f>
        <v>101774</v>
      </c>
      <c r="BL129" s="8">
        <f>Granger_Inventory[[#This Row],[Age]]*Lookups!$B$16</f>
        <v>-1451.3177000000001</v>
      </c>
      <c r="BM129" s="8">
        <f>Granger_Inventory[[#This Row],[living_area]]*Lookups!$B$17</f>
        <v>120553.05292799999</v>
      </c>
      <c r="BN129" s="8">
        <f>(Granger_Inventory[[#This Row],[att_gar]]+Granger_Inventory[[#This Row],[blt_gar]])*Lookups!$B$18</f>
        <v>0</v>
      </c>
      <c r="BO129" s="8">
        <f>Granger_Inventory[[#This Row],[Patio]]*Lookups!$B$19</f>
        <v>0</v>
      </c>
      <c r="BP129" s="8">
        <f>SUM(Granger_Inventory[[#This Row],[Intercept]:[Patio_Value]])*Granger_Inventory[[#This Row],[res_pct]]</f>
        <v>306993.29422799998</v>
      </c>
      <c r="BQ129" s="8">
        <f>Granger_Inventory[[#This Row],[land_value]]</f>
        <v>17680.230269359956</v>
      </c>
      <c r="BR129" s="4">
        <f>_xlfn.IFNA(VLOOKUP(Granger_Inventory[[#This Row],[quality]],Lookups!$A$25:$C$35,3,FALSE),1)</f>
        <v>0.98791809110152173</v>
      </c>
      <c r="BS129" s="4">
        <f>_xlfn.IFNA(VLOOKUP(Granger_Inventory[[#This Row],[condition]],Lookups!$A$38:$C$45,3,FALSE),1)</f>
        <v>0.99135053432734199</v>
      </c>
      <c r="BT129" s="4">
        <f>IF(Granger_Inventory[[#This Row],[decade]]="",1,_xlfn.IFNA(VLOOKUP(Granger_Inventory[[#This Row],[decade]],Lookups!$G$28:$I$42,3,FALSE),1))</f>
        <v>0.95532362136731586</v>
      </c>
      <c r="BU129" s="4">
        <f>_xlfn.IFNA(VLOOKUP(Granger_Inventory[[#This Row],[living_area_range]],Lookups!$A$48:$C$57,3,FALSE),1)</f>
        <v>0.97860968051050168</v>
      </c>
      <c r="BV129" s="4">
        <f>AVERAGE(Granger_Inventory[[#This Row],[qual_adj]:[living_range_adj]])</f>
        <v>0.97830048182667029</v>
      </c>
      <c r="BW129" s="8">
        <f>(Granger_Inventory[[#This Row],[sum_land]]-IF(Granger_Inventory[[#This Row],[no_utilities]]=1,12000,0))/IF(Granger_Inventory[[#This Row],[unbuildable]]=1,2,1)</f>
        <v>17680.230269359956</v>
      </c>
      <c r="BX129" s="8">
        <f>Granger_Inventory[[#This Row],[pre_res]]*Granger_Inventory[[#This Row],[overall_adj]]</f>
        <v>300331.68766080914</v>
      </c>
      <c r="BY12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29">
        <f>ROUND(Granger_Inventory[[#This Row],[detatched_value]]*Lookups!$I$45,-2)</f>
        <v>0</v>
      </c>
      <c r="CA129">
        <f>IF(ROUND(Granger_Inventory[[#This Row],[adj_res]]*Lookups!$I$45,-2)&lt;Granger_Inventory[[#This Row],[min_res]],Granger_Inventory[[#This Row],[min_res]],ROUND(Granger_Inventory[[#This Row],[adj_res]]*Lookups!$I$45,-2))</f>
        <v>285300</v>
      </c>
      <c r="CB129">
        <f>Granger_Inventory[[#This Row],[final_det]]+Granger_Inventory[[#This Row],[final_res]]</f>
        <v>285300</v>
      </c>
      <c r="CC129">
        <f>Granger_Inventory[[#This Row],[final_land]]+Granger_Inventory[[#This Row],[final_imp]]+Granger_Inventory[[#This Row],[crop_value]]</f>
        <v>302100</v>
      </c>
      <c r="CE129" t="str">
        <f t="shared" si="1"/>
        <v>update valuation set market_land =16800, market_bldg=285300, market_total =302100, market_mdno =402, market_date ='9/10/2023' where link_id = (select link_id from parcel where parcel_year = '2024' and parcel_id = '21101641499');</v>
      </c>
    </row>
    <row r="130" spans="1:83" x14ac:dyDescent="0.25">
      <c r="A130">
        <v>21101641501</v>
      </c>
      <c r="B130">
        <v>0.14000000000000001</v>
      </c>
      <c r="C130">
        <v>6150</v>
      </c>
      <c r="D130" t="s">
        <v>137</v>
      </c>
      <c r="E130" t="s">
        <v>54</v>
      </c>
      <c r="F130" t="s">
        <v>54</v>
      </c>
      <c r="G130">
        <v>3</v>
      </c>
      <c r="H130" t="s">
        <v>55</v>
      </c>
      <c r="I130">
        <v>256100</v>
      </c>
      <c r="J130">
        <v>25900</v>
      </c>
      <c r="K130">
        <v>0.14000000000000001</v>
      </c>
      <c r="L13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0">
        <v>0</v>
      </c>
      <c r="N130">
        <v>0</v>
      </c>
      <c r="O130">
        <v>0</v>
      </c>
      <c r="P130">
        <v>47108.068500000001</v>
      </c>
      <c r="Q130">
        <v>122298</v>
      </c>
      <c r="R130">
        <f>(Granger_Inventory[[#This Row],[ln_acres]]*Granger_Inventory[[#This Row],[coeff]])+Granger_Inventory[[#This Row],[const]]</f>
        <v>29678.220883257934</v>
      </c>
      <c r="S130" t="s">
        <v>56</v>
      </c>
      <c r="T130">
        <v>1</v>
      </c>
      <c r="U130" t="s">
        <v>64</v>
      </c>
      <c r="V130" t="s">
        <v>58</v>
      </c>
      <c r="W130">
        <v>0</v>
      </c>
      <c r="X130">
        <v>0</v>
      </c>
      <c r="Y130">
        <v>2</v>
      </c>
      <c r="Z130">
        <v>2</v>
      </c>
      <c r="AA130">
        <v>10</v>
      </c>
      <c r="AB130">
        <v>2000</v>
      </c>
      <c r="AC130">
        <v>1600</v>
      </c>
      <c r="AD130">
        <v>1600</v>
      </c>
      <c r="AE130">
        <v>0</v>
      </c>
      <c r="AF130">
        <v>0</v>
      </c>
      <c r="AG130">
        <v>0</v>
      </c>
      <c r="AH130">
        <v>0</v>
      </c>
      <c r="AI130">
        <v>288</v>
      </c>
      <c r="AJ130">
        <v>0</v>
      </c>
      <c r="AK130">
        <v>0</v>
      </c>
      <c r="AL130">
        <v>0</v>
      </c>
      <c r="AM130">
        <v>0</v>
      </c>
      <c r="AN130">
        <v>80</v>
      </c>
      <c r="AO130">
        <v>0</v>
      </c>
      <c r="AP130">
        <v>8</v>
      </c>
      <c r="AQ130">
        <v>0</v>
      </c>
      <c r="AR130">
        <v>0</v>
      </c>
      <c r="AS130" t="s">
        <v>59</v>
      </c>
      <c r="AT130">
        <v>1</v>
      </c>
      <c r="AU130" t="s">
        <v>63</v>
      </c>
      <c r="AV130" t="s">
        <v>65</v>
      </c>
      <c r="AW130">
        <v>1</v>
      </c>
      <c r="AX130">
        <v>3</v>
      </c>
      <c r="AY130">
        <v>0</v>
      </c>
      <c r="AZ130">
        <v>0</v>
      </c>
      <c r="BA130">
        <v>100</v>
      </c>
      <c r="BB130">
        <v>100</v>
      </c>
      <c r="BC130">
        <v>100</v>
      </c>
      <c r="BD130">
        <v>100</v>
      </c>
      <c r="BE130">
        <v>1</v>
      </c>
      <c r="BF130">
        <v>15000</v>
      </c>
      <c r="BG130">
        <v>1000</v>
      </c>
      <c r="BH130" s="8">
        <f>Granger_Inventory[[#This Row],[land_extract]]*Lookups!$B$3</f>
        <v>17680.230269359956</v>
      </c>
      <c r="BI130" s="8">
        <f>IF(Granger_Inventory[[#This Row],[bldg_style]]="",0,Lookups!$B$2)</f>
        <v>29703.559000000001</v>
      </c>
      <c r="BJ130" s="8">
        <f>_xlfn.IFNA(VLOOKUP(Granger_Inventory[[#This Row],[quality]],Lookups!$H$2:$J$14,3,FALSE),0)</f>
        <v>36568</v>
      </c>
      <c r="BK130" s="8">
        <f>_xlfn.IFNA(VLOOKUP(Granger_Inventory[[#This Row],[condition]],Lookups!$H$17:$J$24,3,FALSE),0)</f>
        <v>101774</v>
      </c>
      <c r="BL130" s="8">
        <f>Granger_Inventory[[#This Row],[Age]]*Lookups!$B$16</f>
        <v>-414.66219999999998</v>
      </c>
      <c r="BM130" s="8">
        <f>Granger_Inventory[[#This Row],[living_area]]*Lookups!$B$17</f>
        <v>107636.6544</v>
      </c>
      <c r="BN130" s="8">
        <f>(Granger_Inventory[[#This Row],[att_gar]]+Granger_Inventory[[#This Row],[blt_gar]])*Lookups!$B$18</f>
        <v>13952.904768</v>
      </c>
      <c r="BO130" s="8">
        <f>Granger_Inventory[[#This Row],[Patio]]*Lookups!$B$19</f>
        <v>0</v>
      </c>
      <c r="BP130" s="8">
        <f>SUM(Granger_Inventory[[#This Row],[Intercept]:[Patio_Value]])*Granger_Inventory[[#This Row],[res_pct]]</f>
        <v>289220.45596799999</v>
      </c>
      <c r="BQ130" s="8">
        <f>Granger_Inventory[[#This Row],[land_value]]</f>
        <v>17680.230269359956</v>
      </c>
      <c r="BR130" s="4">
        <f>_xlfn.IFNA(VLOOKUP(Granger_Inventory[[#This Row],[quality]],Lookups!$A$25:$C$35,3,FALSE),1)</f>
        <v>0.99049976351917957</v>
      </c>
      <c r="BS130" s="4">
        <f>_xlfn.IFNA(VLOOKUP(Granger_Inventory[[#This Row],[condition]],Lookups!$A$38:$C$45,3,FALSE),1)</f>
        <v>0.99135053432734199</v>
      </c>
      <c r="BT130" s="4">
        <f>IF(Granger_Inventory[[#This Row],[decade]]="",1,_xlfn.IFNA(VLOOKUP(Granger_Inventory[[#This Row],[decade]],Lookups!$G$28:$I$42,3,FALSE),1))</f>
        <v>0.95532362136731586</v>
      </c>
      <c r="BU130" s="4">
        <f>_xlfn.IFNA(VLOOKUP(Granger_Inventory[[#This Row],[living_area_range]],Lookups!$A$48:$C$57,3,FALSE),1)</f>
        <v>0.97860968051050168</v>
      </c>
      <c r="BV130" s="4">
        <f>AVERAGE(Granger_Inventory[[#This Row],[qual_adj]:[living_range_adj]])</f>
        <v>0.97894589993108483</v>
      </c>
      <c r="BW130" s="8">
        <f>(Granger_Inventory[[#This Row],[sum_land]]-IF(Granger_Inventory[[#This Row],[no_utilities]]=1,12000,0))/IF(Granger_Inventory[[#This Row],[unbuildable]]=1,2,1)</f>
        <v>17680.230269359956</v>
      </c>
      <c r="BX130" s="8">
        <f>Granger_Inventory[[#This Row],[pre_res]]*Granger_Inventory[[#This Row],[overall_adj]]</f>
        <v>283131.17954607244</v>
      </c>
      <c r="BY13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0">
        <f>ROUND(Granger_Inventory[[#This Row],[detatched_value]]*Lookups!$I$45,-2)</f>
        <v>0</v>
      </c>
      <c r="CA130">
        <f>IF(ROUND(Granger_Inventory[[#This Row],[adj_res]]*Lookups!$I$45,-2)&lt;Granger_Inventory[[#This Row],[min_res]],Granger_Inventory[[#This Row],[min_res]],ROUND(Granger_Inventory[[#This Row],[adj_res]]*Lookups!$I$45,-2))</f>
        <v>269000</v>
      </c>
      <c r="CB130">
        <f>Granger_Inventory[[#This Row],[final_det]]+Granger_Inventory[[#This Row],[final_res]]</f>
        <v>269000</v>
      </c>
      <c r="CC130">
        <f>Granger_Inventory[[#This Row],[final_land]]+Granger_Inventory[[#This Row],[final_imp]]+Granger_Inventory[[#This Row],[crop_value]]</f>
        <v>285800</v>
      </c>
      <c r="CE130" t="str">
        <f t="shared" ref="CE130:CE193" si="2">"update valuation set market_land ="&amp;BY130&amp;", market_bldg="&amp;CB130&amp;", market_total ="&amp;CC130&amp;", market_mdno ="&amp;$CE$1&amp;", market_date ='"&amp;TEXT($CF$1,"m/d/yyyy")&amp;"' where link_id = (select link_id from parcel where parcel_year = '2024' and parcel_id = '"&amp;A130&amp;"');"</f>
        <v>update valuation set market_land =16800, market_bldg=269000, market_total =285800, market_mdno =402, market_date ='9/10/2023' where link_id = (select link_id from parcel where parcel_year = '2024' and parcel_id = '21101641501');</v>
      </c>
    </row>
    <row r="131" spans="1:83" x14ac:dyDescent="0.25">
      <c r="A131">
        <v>21101641506</v>
      </c>
      <c r="B131">
        <v>0.4</v>
      </c>
      <c r="C131" t="s">
        <v>137</v>
      </c>
      <c r="D131" t="s">
        <v>137</v>
      </c>
      <c r="E131" t="s">
        <v>54</v>
      </c>
      <c r="F131" t="s">
        <v>54</v>
      </c>
      <c r="G131">
        <v>3</v>
      </c>
      <c r="H131" t="s">
        <v>55</v>
      </c>
      <c r="I131">
        <v>53700</v>
      </c>
      <c r="J131">
        <v>32100</v>
      </c>
      <c r="K131">
        <v>0.4</v>
      </c>
      <c r="L131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131">
        <v>0</v>
      </c>
      <c r="N131">
        <v>0</v>
      </c>
      <c r="O131">
        <v>0</v>
      </c>
      <c r="P131">
        <v>47108.068500000001</v>
      </c>
      <c r="Q131">
        <v>122298</v>
      </c>
      <c r="R131">
        <f>(Granger_Inventory[[#This Row],[ln_acres]]*Granger_Inventory[[#This Row],[coeff]])+Granger_Inventory[[#This Row],[const]]</f>
        <v>79133.313436957164</v>
      </c>
      <c r="S131" t="s">
        <v>69</v>
      </c>
      <c r="T131">
        <v>1</v>
      </c>
      <c r="U131" t="s">
        <v>78</v>
      </c>
      <c r="V131" t="s">
        <v>79</v>
      </c>
      <c r="W131">
        <v>0</v>
      </c>
      <c r="X131">
        <v>0</v>
      </c>
      <c r="Y131">
        <v>65</v>
      </c>
      <c r="Z131">
        <v>113</v>
      </c>
      <c r="AA131">
        <v>120</v>
      </c>
      <c r="AB131">
        <v>1500</v>
      </c>
      <c r="AC131">
        <v>1008</v>
      </c>
      <c r="AD131">
        <v>1008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8</v>
      </c>
      <c r="AQ131">
        <v>1</v>
      </c>
      <c r="AR131">
        <v>0</v>
      </c>
      <c r="AS131" t="s">
        <v>59</v>
      </c>
      <c r="AT131">
        <v>1</v>
      </c>
      <c r="AU131" t="s">
        <v>60</v>
      </c>
      <c r="AV131" t="s">
        <v>65</v>
      </c>
      <c r="AW131">
        <v>0</v>
      </c>
      <c r="AX131">
        <v>2</v>
      </c>
      <c r="AY131">
        <v>0</v>
      </c>
      <c r="AZ131">
        <v>0</v>
      </c>
      <c r="BA131">
        <v>100</v>
      </c>
      <c r="BB131">
        <v>100</v>
      </c>
      <c r="BC131">
        <v>100</v>
      </c>
      <c r="BD131">
        <v>100</v>
      </c>
      <c r="BE131">
        <v>1</v>
      </c>
      <c r="BF131">
        <v>15000</v>
      </c>
      <c r="BG131">
        <v>1000</v>
      </c>
      <c r="BH131" s="8">
        <f>Granger_Inventory[[#This Row],[land_extract]]*Lookups!$B$3</f>
        <v>47142.152120449238</v>
      </c>
      <c r="BI131" s="8">
        <f>IF(Granger_Inventory[[#This Row],[bldg_style]]="",0,Lookups!$B$2)</f>
        <v>29703.559000000001</v>
      </c>
      <c r="BJ131" s="8">
        <f>_xlfn.IFNA(VLOOKUP(Granger_Inventory[[#This Row],[quality]],Lookups!$H$2:$J$14,3,FALSE),0)</f>
        <v>23737.786340274597</v>
      </c>
      <c r="BK131" s="8">
        <f>_xlfn.IFNA(VLOOKUP(Granger_Inventory[[#This Row],[condition]],Lookups!$H$17:$J$24,3,FALSE),0)</f>
        <v>86727</v>
      </c>
      <c r="BL131" s="8">
        <f>Granger_Inventory[[#This Row],[Age]]*Lookups!$B$16</f>
        <v>-23428.4143</v>
      </c>
      <c r="BM131" s="8">
        <f>Granger_Inventory[[#This Row],[living_area]]*Lookups!$B$17</f>
        <v>67811.092271999994</v>
      </c>
      <c r="BN131" s="8">
        <f>(Granger_Inventory[[#This Row],[att_gar]]+Granger_Inventory[[#This Row],[blt_gar]])*Lookups!$B$18</f>
        <v>0</v>
      </c>
      <c r="BO131" s="8">
        <f>Granger_Inventory[[#This Row],[Patio]]*Lookups!$B$19</f>
        <v>0</v>
      </c>
      <c r="BP131" s="8">
        <f>SUM(Granger_Inventory[[#This Row],[Intercept]:[Patio_Value]])*Granger_Inventory[[#This Row],[res_pct]]</f>
        <v>184551.0233122746</v>
      </c>
      <c r="BQ131" s="8">
        <f>Granger_Inventory[[#This Row],[land_value]]</f>
        <v>47142.152120449238</v>
      </c>
      <c r="BR131" s="4">
        <f>_xlfn.IFNA(VLOOKUP(Granger_Inventory[[#This Row],[quality]],Lookups!$A$25:$C$35,3,FALSE),1)</f>
        <v>0.77695375541795109</v>
      </c>
      <c r="BS131" s="4">
        <f>_xlfn.IFNA(VLOOKUP(Granger_Inventory[[#This Row],[condition]],Lookups!$A$38:$C$45,3,FALSE),1)</f>
        <v>0.85322907131620684</v>
      </c>
      <c r="BT131" s="4">
        <f>IF(Granger_Inventory[[#This Row],[decade]]="",1,_xlfn.IFNA(VLOOKUP(Granger_Inventory[[#This Row],[decade]],Lookups!$G$28:$I$42,3,FALSE),1))</f>
        <v>0.879441629375324</v>
      </c>
      <c r="BU131" s="4">
        <f>_xlfn.IFNA(VLOOKUP(Granger_Inventory[[#This Row],[living_area_range]],Lookups!$A$48:$C$57,3,FALSE),1)</f>
        <v>0.97960506760539345</v>
      </c>
      <c r="BV131" s="4">
        <f>AVERAGE(Granger_Inventory[[#This Row],[qual_adj]:[living_range_adj]])</f>
        <v>0.87230738092871896</v>
      </c>
      <c r="BW131" s="8">
        <f>(Granger_Inventory[[#This Row],[sum_land]]-IF(Granger_Inventory[[#This Row],[no_utilities]]=1,12000,0))/IF(Granger_Inventory[[#This Row],[unbuildable]]=1,2,1)</f>
        <v>47142.152120449238</v>
      </c>
      <c r="BX131" s="8">
        <f>Granger_Inventory[[#This Row],[pre_res]]*Granger_Inventory[[#This Row],[overall_adj]]</f>
        <v>160985.21979324523</v>
      </c>
      <c r="BY131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131">
        <f>ROUND(Granger_Inventory[[#This Row],[detatched_value]]*Lookups!$I$45,-2)</f>
        <v>0</v>
      </c>
      <c r="CA131">
        <f>IF(ROUND(Granger_Inventory[[#This Row],[adj_res]]*Lookups!$I$45,-2)&lt;Granger_Inventory[[#This Row],[min_res]],Granger_Inventory[[#This Row],[min_res]],ROUND(Granger_Inventory[[#This Row],[adj_res]]*Lookups!$I$45,-2))</f>
        <v>152900</v>
      </c>
      <c r="CB131">
        <f>Granger_Inventory[[#This Row],[final_det]]+Granger_Inventory[[#This Row],[final_res]]</f>
        <v>152900</v>
      </c>
      <c r="CC131">
        <f>Granger_Inventory[[#This Row],[final_land]]+Granger_Inventory[[#This Row],[final_imp]]+Granger_Inventory[[#This Row],[crop_value]]</f>
        <v>197700</v>
      </c>
      <c r="CE131" t="str">
        <f t="shared" si="2"/>
        <v>update valuation set market_land =44800, market_bldg=152900, market_total =197700, market_mdno =402, market_date ='9/10/2023' where link_id = (select link_id from parcel where parcel_year = '2024' and parcel_id = '21101641506');</v>
      </c>
    </row>
    <row r="132" spans="1:83" x14ac:dyDescent="0.25">
      <c r="A132">
        <v>21101641512</v>
      </c>
      <c r="B132">
        <v>0.14000000000000001</v>
      </c>
      <c r="C132">
        <v>6100</v>
      </c>
      <c r="D132" t="s">
        <v>137</v>
      </c>
      <c r="E132" t="s">
        <v>54</v>
      </c>
      <c r="F132" t="s">
        <v>54</v>
      </c>
      <c r="G132">
        <v>3</v>
      </c>
      <c r="H132" t="s">
        <v>55</v>
      </c>
      <c r="I132">
        <v>215500</v>
      </c>
      <c r="J132">
        <v>25900</v>
      </c>
      <c r="K132">
        <v>0.14000000000000001</v>
      </c>
      <c r="L13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2">
        <v>0</v>
      </c>
      <c r="N132">
        <v>0</v>
      </c>
      <c r="O132">
        <v>0</v>
      </c>
      <c r="P132">
        <v>47108.068500000001</v>
      </c>
      <c r="Q132">
        <v>122298</v>
      </c>
      <c r="R132">
        <f>(Granger_Inventory[[#This Row],[ln_acres]]*Granger_Inventory[[#This Row],[coeff]])+Granger_Inventory[[#This Row],[const]]</f>
        <v>29678.220883257934</v>
      </c>
      <c r="S132" t="s">
        <v>62</v>
      </c>
      <c r="T132">
        <v>1</v>
      </c>
      <c r="U132" t="s">
        <v>71</v>
      </c>
      <c r="V132" t="s">
        <v>70</v>
      </c>
      <c r="W132">
        <v>0</v>
      </c>
      <c r="X132">
        <v>0</v>
      </c>
      <c r="Y132">
        <v>15</v>
      </c>
      <c r="Z132">
        <v>15</v>
      </c>
      <c r="AA132">
        <v>20</v>
      </c>
      <c r="AB132">
        <v>1500</v>
      </c>
      <c r="AC132">
        <v>1200</v>
      </c>
      <c r="AD132">
        <v>1200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32</v>
      </c>
      <c r="AO132">
        <v>0</v>
      </c>
      <c r="AP132">
        <v>7</v>
      </c>
      <c r="AQ132">
        <v>0</v>
      </c>
      <c r="AR132">
        <v>0</v>
      </c>
      <c r="AS132" t="s">
        <v>59</v>
      </c>
      <c r="AT132">
        <v>1</v>
      </c>
      <c r="AU132" t="s">
        <v>63</v>
      </c>
      <c r="AV132" t="s">
        <v>65</v>
      </c>
      <c r="AW132">
        <v>1</v>
      </c>
      <c r="AX132">
        <v>3</v>
      </c>
      <c r="AY132">
        <v>0</v>
      </c>
      <c r="AZ132">
        <v>0</v>
      </c>
      <c r="BA132">
        <v>100</v>
      </c>
      <c r="BB132">
        <v>100</v>
      </c>
      <c r="BC132">
        <v>100</v>
      </c>
      <c r="BD132">
        <v>100</v>
      </c>
      <c r="BE132">
        <v>1</v>
      </c>
      <c r="BF132">
        <v>15000</v>
      </c>
      <c r="BG132">
        <v>1000</v>
      </c>
      <c r="BH132" s="8">
        <f>Granger_Inventory[[#This Row],[land_extract]]*Lookups!$B$3</f>
        <v>17680.230269359956</v>
      </c>
      <c r="BI132" s="8">
        <f>IF(Granger_Inventory[[#This Row],[bldg_style]]="",0,Lookups!$B$2)</f>
        <v>29703.559000000001</v>
      </c>
      <c r="BJ132" s="8">
        <f>_xlfn.IFNA(VLOOKUP(Granger_Inventory[[#This Row],[quality]],Lookups!$H$2:$J$14,3,FALSE),0)</f>
        <v>34195</v>
      </c>
      <c r="BK132" s="8">
        <f>_xlfn.IFNA(VLOOKUP(Granger_Inventory[[#This Row],[condition]],Lookups!$H$17:$J$24,3,FALSE),0)</f>
        <v>80695</v>
      </c>
      <c r="BL132" s="8">
        <f>Granger_Inventory[[#This Row],[Age]]*Lookups!$B$16</f>
        <v>-3109.9665</v>
      </c>
      <c r="BM132" s="8">
        <f>Granger_Inventory[[#This Row],[living_area]]*Lookups!$B$17</f>
        <v>80727.4908</v>
      </c>
      <c r="BN132" s="8">
        <f>(Granger_Inventory[[#This Row],[att_gar]]+Granger_Inventory[[#This Row],[blt_gar]])*Lookups!$B$18</f>
        <v>0</v>
      </c>
      <c r="BO132" s="8">
        <f>Granger_Inventory[[#This Row],[Patio]]*Lookups!$B$19</f>
        <v>0</v>
      </c>
      <c r="BP132" s="8">
        <f>SUM(Granger_Inventory[[#This Row],[Intercept]:[Patio_Value]])*Granger_Inventory[[#This Row],[res_pct]]</f>
        <v>222211.0833</v>
      </c>
      <c r="BQ132" s="8">
        <f>Granger_Inventory[[#This Row],[land_value]]</f>
        <v>17680.230269359956</v>
      </c>
      <c r="BR132" s="4">
        <f>_xlfn.IFNA(VLOOKUP(Granger_Inventory[[#This Row],[quality]],Lookups!$A$25:$C$35,3,FALSE),1)</f>
        <v>0.98258795897788032</v>
      </c>
      <c r="BS132" s="4">
        <f>_xlfn.IFNA(VLOOKUP(Granger_Inventory[[#This Row],[condition]],Lookups!$A$38:$C$45,3,FALSE),1)</f>
        <v>0.99484195314749324</v>
      </c>
      <c r="BT132" s="4">
        <f>IF(Granger_Inventory[[#This Row],[decade]]="",1,_xlfn.IFNA(VLOOKUP(Granger_Inventory[[#This Row],[decade]],Lookups!$G$28:$I$42,3,FALSE),1))</f>
        <v>1.0159161060824455</v>
      </c>
      <c r="BU132" s="4">
        <f>_xlfn.IFNA(VLOOKUP(Granger_Inventory[[#This Row],[living_area_range]],Lookups!$A$48:$C$57,3,FALSE),1)</f>
        <v>0.97960506760539345</v>
      </c>
      <c r="BV132" s="4">
        <f>AVERAGE(Granger_Inventory[[#This Row],[qual_adj]:[living_range_adj]])</f>
        <v>0.99323777145330316</v>
      </c>
      <c r="BW132" s="8">
        <f>(Granger_Inventory[[#This Row],[sum_land]]-IF(Granger_Inventory[[#This Row],[no_utilities]]=1,12000,0))/IF(Granger_Inventory[[#This Row],[unbuildable]]=1,2,1)</f>
        <v>17680.230269359956</v>
      </c>
      <c r="BX132" s="8">
        <f>Granger_Inventory[[#This Row],[pre_res]]*Granger_Inventory[[#This Row],[overall_adj]]</f>
        <v>220708.4411691163</v>
      </c>
      <c r="BY13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2">
        <f>ROUND(Granger_Inventory[[#This Row],[detatched_value]]*Lookups!$I$45,-2)</f>
        <v>0</v>
      </c>
      <c r="CA132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32">
        <f>Granger_Inventory[[#This Row],[final_det]]+Granger_Inventory[[#This Row],[final_res]]</f>
        <v>209700</v>
      </c>
      <c r="CC132">
        <f>Granger_Inventory[[#This Row],[final_land]]+Granger_Inventory[[#This Row],[final_imp]]+Granger_Inventory[[#This Row],[crop_value]]</f>
        <v>226500</v>
      </c>
      <c r="CE132" t="str">
        <f t="shared" si="2"/>
        <v>update valuation set market_land =16800, market_bldg=209700, market_total =226500, market_mdno =402, market_date ='9/10/2023' where link_id = (select link_id from parcel where parcel_year = '2024' and parcel_id = '21101641512');</v>
      </c>
    </row>
    <row r="133" spans="1:83" x14ac:dyDescent="0.25">
      <c r="A133">
        <v>21101641513</v>
      </c>
      <c r="B133">
        <v>0.14000000000000001</v>
      </c>
      <c r="C133">
        <v>6100</v>
      </c>
      <c r="D133" t="s">
        <v>137</v>
      </c>
      <c r="E133" t="s">
        <v>54</v>
      </c>
      <c r="F133" t="s">
        <v>54</v>
      </c>
      <c r="G133">
        <v>3</v>
      </c>
      <c r="H133" t="s">
        <v>55</v>
      </c>
      <c r="I133">
        <v>193500</v>
      </c>
      <c r="J133">
        <v>25900</v>
      </c>
      <c r="K133">
        <v>0.14000000000000001</v>
      </c>
      <c r="L13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3">
        <v>0</v>
      </c>
      <c r="N133">
        <v>0</v>
      </c>
      <c r="O133">
        <v>0</v>
      </c>
      <c r="P133">
        <v>47108.068500000001</v>
      </c>
      <c r="Q133">
        <v>122298</v>
      </c>
      <c r="R133">
        <f>(Granger_Inventory[[#This Row],[ln_acres]]*Granger_Inventory[[#This Row],[coeff]])+Granger_Inventory[[#This Row],[const]]</f>
        <v>29678.220883257934</v>
      </c>
      <c r="S133" t="s">
        <v>56</v>
      </c>
      <c r="T133">
        <v>1</v>
      </c>
      <c r="U133" t="s">
        <v>71</v>
      </c>
      <c r="V133" t="s">
        <v>70</v>
      </c>
      <c r="W133">
        <v>0</v>
      </c>
      <c r="X133">
        <v>0</v>
      </c>
      <c r="Y133">
        <v>16</v>
      </c>
      <c r="Z133">
        <v>16</v>
      </c>
      <c r="AA133">
        <v>20</v>
      </c>
      <c r="AB133">
        <v>1500</v>
      </c>
      <c r="AC133">
        <v>1200</v>
      </c>
      <c r="AD133">
        <v>1200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32</v>
      </c>
      <c r="AO133">
        <v>0</v>
      </c>
      <c r="AP133">
        <v>5</v>
      </c>
      <c r="AQ133">
        <v>0</v>
      </c>
      <c r="AR133">
        <v>0</v>
      </c>
      <c r="AS133" t="s">
        <v>59</v>
      </c>
      <c r="AT133">
        <v>1</v>
      </c>
      <c r="AU133" t="s">
        <v>63</v>
      </c>
      <c r="AV133" t="s">
        <v>65</v>
      </c>
      <c r="AW133">
        <v>1</v>
      </c>
      <c r="AX133">
        <v>3</v>
      </c>
      <c r="AY133">
        <v>0</v>
      </c>
      <c r="AZ133">
        <v>0</v>
      </c>
      <c r="BA133">
        <v>100</v>
      </c>
      <c r="BB133">
        <v>100</v>
      </c>
      <c r="BC133">
        <v>100</v>
      </c>
      <c r="BD133">
        <v>100</v>
      </c>
      <c r="BE133">
        <v>1</v>
      </c>
      <c r="BF133">
        <v>15000</v>
      </c>
      <c r="BG133">
        <v>1000</v>
      </c>
      <c r="BH133" s="8">
        <f>Granger_Inventory[[#This Row],[land_extract]]*Lookups!$B$3</f>
        <v>17680.230269359956</v>
      </c>
      <c r="BI133" s="8">
        <f>IF(Granger_Inventory[[#This Row],[bldg_style]]="",0,Lookups!$B$2)</f>
        <v>29703.559000000001</v>
      </c>
      <c r="BJ133" s="8">
        <f>_xlfn.IFNA(VLOOKUP(Granger_Inventory[[#This Row],[quality]],Lookups!$H$2:$J$14,3,FALSE),0)</f>
        <v>34195</v>
      </c>
      <c r="BK133" s="8">
        <f>_xlfn.IFNA(VLOOKUP(Granger_Inventory[[#This Row],[condition]],Lookups!$H$17:$J$24,3,FALSE),0)</f>
        <v>80695</v>
      </c>
      <c r="BL133" s="8">
        <f>Granger_Inventory[[#This Row],[Age]]*Lookups!$B$16</f>
        <v>-3317.2975999999999</v>
      </c>
      <c r="BM133" s="8">
        <f>Granger_Inventory[[#This Row],[living_area]]*Lookups!$B$17</f>
        <v>80727.4908</v>
      </c>
      <c r="BN133" s="8">
        <f>(Granger_Inventory[[#This Row],[att_gar]]+Granger_Inventory[[#This Row],[blt_gar]])*Lookups!$B$18</f>
        <v>0</v>
      </c>
      <c r="BO133" s="8">
        <f>Granger_Inventory[[#This Row],[Patio]]*Lookups!$B$19</f>
        <v>0</v>
      </c>
      <c r="BP133" s="8">
        <f>SUM(Granger_Inventory[[#This Row],[Intercept]:[Patio_Value]])*Granger_Inventory[[#This Row],[res_pct]]</f>
        <v>222003.75220000002</v>
      </c>
      <c r="BQ133" s="8">
        <f>Granger_Inventory[[#This Row],[land_value]]</f>
        <v>17680.230269359956</v>
      </c>
      <c r="BR133" s="4">
        <f>_xlfn.IFNA(VLOOKUP(Granger_Inventory[[#This Row],[quality]],Lookups!$A$25:$C$35,3,FALSE),1)</f>
        <v>0.98258795897788032</v>
      </c>
      <c r="BS133" s="4">
        <f>_xlfn.IFNA(VLOOKUP(Granger_Inventory[[#This Row],[condition]],Lookups!$A$38:$C$45,3,FALSE),1)</f>
        <v>0.99484195314749324</v>
      </c>
      <c r="BT133" s="4">
        <f>IF(Granger_Inventory[[#This Row],[decade]]="",1,_xlfn.IFNA(VLOOKUP(Granger_Inventory[[#This Row],[decade]],Lookups!$G$28:$I$42,3,FALSE),1))</f>
        <v>1.0159161060824455</v>
      </c>
      <c r="BU133" s="4">
        <f>_xlfn.IFNA(VLOOKUP(Granger_Inventory[[#This Row],[living_area_range]],Lookups!$A$48:$C$57,3,FALSE),1)</f>
        <v>0.97960506760539345</v>
      </c>
      <c r="BV133" s="4">
        <f>AVERAGE(Granger_Inventory[[#This Row],[qual_adj]:[living_range_adj]])</f>
        <v>0.99323777145330316</v>
      </c>
      <c r="BW133" s="8">
        <f>(Granger_Inventory[[#This Row],[sum_land]]-IF(Granger_Inventory[[#This Row],[no_utilities]]=1,12000,0))/IF(Granger_Inventory[[#This Row],[unbuildable]]=1,2,1)</f>
        <v>17680.230269359956</v>
      </c>
      <c r="BX133" s="8">
        <f>Granger_Inventory[[#This Row],[pre_res]]*Granger_Inventory[[#This Row],[overall_adj]]</f>
        <v>220502.51208939936</v>
      </c>
      <c r="BY13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3">
        <f>ROUND(Granger_Inventory[[#This Row],[detatched_value]]*Lookups!$I$45,-2)</f>
        <v>0</v>
      </c>
      <c r="CA133">
        <f>IF(ROUND(Granger_Inventory[[#This Row],[adj_res]]*Lookups!$I$45,-2)&lt;Granger_Inventory[[#This Row],[min_res]],Granger_Inventory[[#This Row],[min_res]],ROUND(Granger_Inventory[[#This Row],[adj_res]]*Lookups!$I$45,-2))</f>
        <v>209500</v>
      </c>
      <c r="CB133">
        <f>Granger_Inventory[[#This Row],[final_det]]+Granger_Inventory[[#This Row],[final_res]]</f>
        <v>209500</v>
      </c>
      <c r="CC133">
        <f>Granger_Inventory[[#This Row],[final_land]]+Granger_Inventory[[#This Row],[final_imp]]+Granger_Inventory[[#This Row],[crop_value]]</f>
        <v>226300</v>
      </c>
      <c r="CE133" t="str">
        <f t="shared" si="2"/>
        <v>update valuation set market_land =16800, market_bldg=209500, market_total =226300, market_mdno =402, market_date ='9/10/2023' where link_id = (select link_id from parcel where parcel_year = '2024' and parcel_id = '21101641513');</v>
      </c>
    </row>
    <row r="134" spans="1:83" x14ac:dyDescent="0.25">
      <c r="A134">
        <v>21101641514</v>
      </c>
      <c r="B134">
        <v>0.14000000000000001</v>
      </c>
      <c r="C134">
        <v>6100</v>
      </c>
      <c r="D134" t="s">
        <v>137</v>
      </c>
      <c r="E134" t="s">
        <v>54</v>
      </c>
      <c r="F134" t="s">
        <v>54</v>
      </c>
      <c r="G134">
        <v>3</v>
      </c>
      <c r="H134" t="s">
        <v>55</v>
      </c>
      <c r="I134">
        <v>201100</v>
      </c>
      <c r="J134">
        <v>25900</v>
      </c>
      <c r="K134">
        <v>0.14000000000000001</v>
      </c>
      <c r="L13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4">
        <v>0</v>
      </c>
      <c r="N134">
        <v>0</v>
      </c>
      <c r="O134">
        <v>0</v>
      </c>
      <c r="P134">
        <v>47108.068500000001</v>
      </c>
      <c r="Q134">
        <v>122298</v>
      </c>
      <c r="R134">
        <f>(Granger_Inventory[[#This Row],[ln_acres]]*Granger_Inventory[[#This Row],[coeff]])+Granger_Inventory[[#This Row],[const]]</f>
        <v>29678.220883257934</v>
      </c>
      <c r="S134" t="s">
        <v>56</v>
      </c>
      <c r="T134">
        <v>1</v>
      </c>
      <c r="U134" t="s">
        <v>71</v>
      </c>
      <c r="V134" t="s">
        <v>70</v>
      </c>
      <c r="W134">
        <v>0</v>
      </c>
      <c r="X134">
        <v>0</v>
      </c>
      <c r="Y134">
        <v>15</v>
      </c>
      <c r="Z134">
        <v>15</v>
      </c>
      <c r="AA134">
        <v>20</v>
      </c>
      <c r="AB134">
        <v>1500</v>
      </c>
      <c r="AC134">
        <v>1200</v>
      </c>
      <c r="AD134">
        <v>1200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32</v>
      </c>
      <c r="AO134">
        <v>0</v>
      </c>
      <c r="AP134">
        <v>8</v>
      </c>
      <c r="AQ134">
        <v>0</v>
      </c>
      <c r="AR134">
        <v>0</v>
      </c>
      <c r="AS134" t="s">
        <v>59</v>
      </c>
      <c r="AT134">
        <v>1</v>
      </c>
      <c r="AU134" t="s">
        <v>63</v>
      </c>
      <c r="AV134" t="s">
        <v>65</v>
      </c>
      <c r="AW134">
        <v>1</v>
      </c>
      <c r="AX134">
        <v>3</v>
      </c>
      <c r="AY134">
        <v>0</v>
      </c>
      <c r="AZ134">
        <v>0</v>
      </c>
      <c r="BA134">
        <v>100</v>
      </c>
      <c r="BB134">
        <v>100</v>
      </c>
      <c r="BC134">
        <v>100</v>
      </c>
      <c r="BD134">
        <v>100</v>
      </c>
      <c r="BE134">
        <v>1</v>
      </c>
      <c r="BF134">
        <v>15000</v>
      </c>
      <c r="BG134">
        <v>1000</v>
      </c>
      <c r="BH134" s="8">
        <f>Granger_Inventory[[#This Row],[land_extract]]*Lookups!$B$3</f>
        <v>17680.230269359956</v>
      </c>
      <c r="BI134" s="8">
        <f>IF(Granger_Inventory[[#This Row],[bldg_style]]="",0,Lookups!$B$2)</f>
        <v>29703.559000000001</v>
      </c>
      <c r="BJ134" s="8">
        <f>_xlfn.IFNA(VLOOKUP(Granger_Inventory[[#This Row],[quality]],Lookups!$H$2:$J$14,3,FALSE),0)</f>
        <v>34195</v>
      </c>
      <c r="BK134" s="8">
        <f>_xlfn.IFNA(VLOOKUP(Granger_Inventory[[#This Row],[condition]],Lookups!$H$17:$J$24,3,FALSE),0)</f>
        <v>80695</v>
      </c>
      <c r="BL134" s="8">
        <f>Granger_Inventory[[#This Row],[Age]]*Lookups!$B$16</f>
        <v>-3109.9665</v>
      </c>
      <c r="BM134" s="8">
        <f>Granger_Inventory[[#This Row],[living_area]]*Lookups!$B$17</f>
        <v>80727.4908</v>
      </c>
      <c r="BN134" s="8">
        <f>(Granger_Inventory[[#This Row],[att_gar]]+Granger_Inventory[[#This Row],[blt_gar]])*Lookups!$B$18</f>
        <v>0</v>
      </c>
      <c r="BO134" s="8">
        <f>Granger_Inventory[[#This Row],[Patio]]*Lookups!$B$19</f>
        <v>0</v>
      </c>
      <c r="BP134" s="8">
        <f>SUM(Granger_Inventory[[#This Row],[Intercept]:[Patio_Value]])*Granger_Inventory[[#This Row],[res_pct]]</f>
        <v>222211.0833</v>
      </c>
      <c r="BQ134" s="8">
        <f>Granger_Inventory[[#This Row],[land_value]]</f>
        <v>17680.230269359956</v>
      </c>
      <c r="BR134" s="4">
        <f>_xlfn.IFNA(VLOOKUP(Granger_Inventory[[#This Row],[quality]],Lookups!$A$25:$C$35,3,FALSE),1)</f>
        <v>0.98258795897788032</v>
      </c>
      <c r="BS134" s="4">
        <f>_xlfn.IFNA(VLOOKUP(Granger_Inventory[[#This Row],[condition]],Lookups!$A$38:$C$45,3,FALSE),1)</f>
        <v>0.99484195314749324</v>
      </c>
      <c r="BT134" s="4">
        <f>IF(Granger_Inventory[[#This Row],[decade]]="",1,_xlfn.IFNA(VLOOKUP(Granger_Inventory[[#This Row],[decade]],Lookups!$G$28:$I$42,3,FALSE),1))</f>
        <v>1.0159161060824455</v>
      </c>
      <c r="BU134" s="4">
        <f>_xlfn.IFNA(VLOOKUP(Granger_Inventory[[#This Row],[living_area_range]],Lookups!$A$48:$C$57,3,FALSE),1)</f>
        <v>0.97960506760539345</v>
      </c>
      <c r="BV134" s="4">
        <f>AVERAGE(Granger_Inventory[[#This Row],[qual_adj]:[living_range_adj]])</f>
        <v>0.99323777145330316</v>
      </c>
      <c r="BW134" s="8">
        <f>(Granger_Inventory[[#This Row],[sum_land]]-IF(Granger_Inventory[[#This Row],[no_utilities]]=1,12000,0))/IF(Granger_Inventory[[#This Row],[unbuildable]]=1,2,1)</f>
        <v>17680.230269359956</v>
      </c>
      <c r="BX134" s="8">
        <f>Granger_Inventory[[#This Row],[pre_res]]*Granger_Inventory[[#This Row],[overall_adj]]</f>
        <v>220708.4411691163</v>
      </c>
      <c r="BY13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4">
        <f>ROUND(Granger_Inventory[[#This Row],[detatched_value]]*Lookups!$I$45,-2)</f>
        <v>0</v>
      </c>
      <c r="CA134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34">
        <f>Granger_Inventory[[#This Row],[final_det]]+Granger_Inventory[[#This Row],[final_res]]</f>
        <v>209700</v>
      </c>
      <c r="CC134">
        <f>Granger_Inventory[[#This Row],[final_land]]+Granger_Inventory[[#This Row],[final_imp]]+Granger_Inventory[[#This Row],[crop_value]]</f>
        <v>226500</v>
      </c>
      <c r="CE134" t="str">
        <f t="shared" si="2"/>
        <v>update valuation set market_land =16800, market_bldg=209700, market_total =226500, market_mdno =402, market_date ='9/10/2023' where link_id = (select link_id from parcel where parcel_year = '2024' and parcel_id = '21101641514');</v>
      </c>
    </row>
    <row r="135" spans="1:83" x14ac:dyDescent="0.25">
      <c r="A135">
        <v>21101641515</v>
      </c>
      <c r="B135">
        <v>0.14000000000000001</v>
      </c>
      <c r="C135">
        <v>6100</v>
      </c>
      <c r="D135" t="s">
        <v>137</v>
      </c>
      <c r="E135" t="s">
        <v>54</v>
      </c>
      <c r="F135" t="s">
        <v>54</v>
      </c>
      <c r="G135">
        <v>3</v>
      </c>
      <c r="H135" t="s">
        <v>55</v>
      </c>
      <c r="I135">
        <v>191200</v>
      </c>
      <c r="J135">
        <v>25900</v>
      </c>
      <c r="K135">
        <v>0.14000000000000001</v>
      </c>
      <c r="L13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5">
        <v>0</v>
      </c>
      <c r="N135">
        <v>0</v>
      </c>
      <c r="O135">
        <v>0</v>
      </c>
      <c r="P135">
        <v>47108.068500000001</v>
      </c>
      <c r="Q135">
        <v>122298</v>
      </c>
      <c r="R135">
        <f>(Granger_Inventory[[#This Row],[ln_acres]]*Granger_Inventory[[#This Row],[coeff]])+Granger_Inventory[[#This Row],[const]]</f>
        <v>29678.220883257934</v>
      </c>
      <c r="S135" t="s">
        <v>56</v>
      </c>
      <c r="T135">
        <v>1</v>
      </c>
      <c r="U135" t="s">
        <v>64</v>
      </c>
      <c r="V135" t="s">
        <v>72</v>
      </c>
      <c r="W135">
        <v>0</v>
      </c>
      <c r="X135">
        <v>0</v>
      </c>
      <c r="Y135">
        <v>15</v>
      </c>
      <c r="Z135">
        <v>15</v>
      </c>
      <c r="AA135">
        <v>20</v>
      </c>
      <c r="AB135">
        <v>1500</v>
      </c>
      <c r="AC135">
        <v>1200</v>
      </c>
      <c r="AD135">
        <v>1200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32</v>
      </c>
      <c r="AO135">
        <v>0</v>
      </c>
      <c r="AP135">
        <v>8</v>
      </c>
      <c r="AQ135">
        <v>0</v>
      </c>
      <c r="AR135">
        <v>0</v>
      </c>
      <c r="AS135" t="s">
        <v>59</v>
      </c>
      <c r="AT135">
        <v>1</v>
      </c>
      <c r="AU135" t="s">
        <v>63</v>
      </c>
      <c r="AV135" t="s">
        <v>65</v>
      </c>
      <c r="AW135">
        <v>1</v>
      </c>
      <c r="AX135">
        <v>3</v>
      </c>
      <c r="AY135">
        <v>0</v>
      </c>
      <c r="AZ135">
        <v>0</v>
      </c>
      <c r="BA135">
        <v>100</v>
      </c>
      <c r="BB135">
        <v>100</v>
      </c>
      <c r="BC135">
        <v>100</v>
      </c>
      <c r="BD135">
        <v>100</v>
      </c>
      <c r="BE135">
        <v>1</v>
      </c>
      <c r="BF135">
        <v>15000</v>
      </c>
      <c r="BG135">
        <v>1000</v>
      </c>
      <c r="BH135" s="8">
        <f>Granger_Inventory[[#This Row],[land_extract]]*Lookups!$B$3</f>
        <v>17680.230269359956</v>
      </c>
      <c r="BI135" s="8">
        <f>IF(Granger_Inventory[[#This Row],[bldg_style]]="",0,Lookups!$B$2)</f>
        <v>29703.559000000001</v>
      </c>
      <c r="BJ135" s="8">
        <f>_xlfn.IFNA(VLOOKUP(Granger_Inventory[[#This Row],[quality]],Lookups!$H$2:$J$14,3,FALSE),0)</f>
        <v>36568</v>
      </c>
      <c r="BK135" s="8">
        <f>_xlfn.IFNA(VLOOKUP(Granger_Inventory[[#This Row],[condition]],Lookups!$H$17:$J$24,3,FALSE),0)</f>
        <v>94106</v>
      </c>
      <c r="BL135" s="8">
        <f>Granger_Inventory[[#This Row],[Age]]*Lookups!$B$16</f>
        <v>-3109.9665</v>
      </c>
      <c r="BM135" s="8">
        <f>Granger_Inventory[[#This Row],[living_area]]*Lookups!$B$17</f>
        <v>80727.4908</v>
      </c>
      <c r="BN135" s="8">
        <f>(Granger_Inventory[[#This Row],[att_gar]]+Granger_Inventory[[#This Row],[blt_gar]])*Lookups!$B$18</f>
        <v>0</v>
      </c>
      <c r="BO135" s="8">
        <f>Granger_Inventory[[#This Row],[Patio]]*Lookups!$B$19</f>
        <v>0</v>
      </c>
      <c r="BP135" s="8">
        <f>SUM(Granger_Inventory[[#This Row],[Intercept]:[Patio_Value]])*Granger_Inventory[[#This Row],[res_pct]]</f>
        <v>237995.0833</v>
      </c>
      <c r="BQ135" s="8">
        <f>Granger_Inventory[[#This Row],[land_value]]</f>
        <v>17680.230269359956</v>
      </c>
      <c r="BR135" s="4">
        <f>_xlfn.IFNA(VLOOKUP(Granger_Inventory[[#This Row],[quality]],Lookups!$A$25:$C$35,3,FALSE),1)</f>
        <v>0.99049976351917957</v>
      </c>
      <c r="BS135" s="4">
        <f>_xlfn.IFNA(VLOOKUP(Granger_Inventory[[#This Row],[condition]],Lookups!$A$38:$C$45,3,FALSE),1)</f>
        <v>0.98658583151544277</v>
      </c>
      <c r="BT135" s="4">
        <f>IF(Granger_Inventory[[#This Row],[decade]]="",1,_xlfn.IFNA(VLOOKUP(Granger_Inventory[[#This Row],[decade]],Lookups!$G$28:$I$42,3,FALSE),1))</f>
        <v>1.0159161060824455</v>
      </c>
      <c r="BU135" s="4">
        <f>_xlfn.IFNA(VLOOKUP(Granger_Inventory[[#This Row],[living_area_range]],Lookups!$A$48:$C$57,3,FALSE),1)</f>
        <v>0.97960506760539345</v>
      </c>
      <c r="BV135" s="4">
        <f>AVERAGE(Granger_Inventory[[#This Row],[qual_adj]:[living_range_adj]])</f>
        <v>0.99315169218061539</v>
      </c>
      <c r="BW135" s="8">
        <f>(Granger_Inventory[[#This Row],[sum_land]]-IF(Granger_Inventory[[#This Row],[no_utilities]]=1,12000,0))/IF(Granger_Inventory[[#This Row],[unbuildable]]=1,2,1)</f>
        <v>17680.230269359956</v>
      </c>
      <c r="BX135" s="8">
        <f>Granger_Inventory[[#This Row],[pre_res]]*Granger_Inventory[[#This Row],[overall_adj]]</f>
        <v>236365.21971006153</v>
      </c>
      <c r="BY13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5">
        <f>ROUND(Granger_Inventory[[#This Row],[detatched_value]]*Lookups!$I$45,-2)</f>
        <v>0</v>
      </c>
      <c r="CA135">
        <f>IF(ROUND(Granger_Inventory[[#This Row],[adj_res]]*Lookups!$I$45,-2)&lt;Granger_Inventory[[#This Row],[min_res]],Granger_Inventory[[#This Row],[min_res]],ROUND(Granger_Inventory[[#This Row],[adj_res]]*Lookups!$I$45,-2))</f>
        <v>224500</v>
      </c>
      <c r="CB135">
        <f>Granger_Inventory[[#This Row],[final_det]]+Granger_Inventory[[#This Row],[final_res]]</f>
        <v>224500</v>
      </c>
      <c r="CC135">
        <f>Granger_Inventory[[#This Row],[final_land]]+Granger_Inventory[[#This Row],[final_imp]]+Granger_Inventory[[#This Row],[crop_value]]</f>
        <v>241300</v>
      </c>
      <c r="CE135" t="str">
        <f t="shared" si="2"/>
        <v>update valuation set market_land =16800, market_bldg=224500, market_total =241300, market_mdno =402, market_date ='9/10/2023' where link_id = (select link_id from parcel where parcel_year = '2024' and parcel_id = '21101641515');</v>
      </c>
    </row>
    <row r="136" spans="1:83" x14ac:dyDescent="0.25">
      <c r="A136">
        <v>21101641516</v>
      </c>
      <c r="B136">
        <v>0.14000000000000001</v>
      </c>
      <c r="C136">
        <v>6014</v>
      </c>
      <c r="D136" t="s">
        <v>137</v>
      </c>
      <c r="E136" t="s">
        <v>54</v>
      </c>
      <c r="F136" t="s">
        <v>54</v>
      </c>
      <c r="G136">
        <v>3</v>
      </c>
      <c r="H136" t="s">
        <v>55</v>
      </c>
      <c r="I136">
        <v>299100</v>
      </c>
      <c r="J136">
        <v>25900</v>
      </c>
      <c r="K136">
        <v>0.14000000000000001</v>
      </c>
      <c r="L13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6">
        <v>0</v>
      </c>
      <c r="N136">
        <v>0</v>
      </c>
      <c r="O136">
        <v>0</v>
      </c>
      <c r="P136">
        <v>47108.068500000001</v>
      </c>
      <c r="Q136">
        <v>122298</v>
      </c>
      <c r="R136">
        <f>(Granger_Inventory[[#This Row],[ln_acres]]*Granger_Inventory[[#This Row],[coeff]])+Granger_Inventory[[#This Row],[const]]</f>
        <v>29678.220883257934</v>
      </c>
      <c r="S136" t="s">
        <v>56</v>
      </c>
      <c r="T136">
        <v>1</v>
      </c>
      <c r="U136" t="s">
        <v>61</v>
      </c>
      <c r="V136" t="s">
        <v>70</v>
      </c>
      <c r="W136">
        <v>0</v>
      </c>
      <c r="X136">
        <v>0</v>
      </c>
      <c r="Y136">
        <v>13</v>
      </c>
      <c r="Z136">
        <v>13</v>
      </c>
      <c r="AA136">
        <v>20</v>
      </c>
      <c r="AB136">
        <v>1500</v>
      </c>
      <c r="AC136">
        <v>1448</v>
      </c>
      <c r="AD136">
        <v>1448</v>
      </c>
      <c r="AE136">
        <v>0</v>
      </c>
      <c r="AF136">
        <v>0</v>
      </c>
      <c r="AG136">
        <v>0</v>
      </c>
      <c r="AH136">
        <v>0</v>
      </c>
      <c r="AI136">
        <v>352</v>
      </c>
      <c r="AJ136">
        <v>0</v>
      </c>
      <c r="AK136">
        <v>0</v>
      </c>
      <c r="AL136">
        <v>0</v>
      </c>
      <c r="AM136">
        <v>0</v>
      </c>
      <c r="AN136">
        <v>112</v>
      </c>
      <c r="AO136">
        <v>0</v>
      </c>
      <c r="AP136">
        <v>8</v>
      </c>
      <c r="AQ136">
        <v>0</v>
      </c>
      <c r="AR136">
        <v>0</v>
      </c>
      <c r="AS136" t="s">
        <v>59</v>
      </c>
      <c r="AT136">
        <v>1</v>
      </c>
      <c r="AU136" t="s">
        <v>63</v>
      </c>
      <c r="AV136" t="s">
        <v>65</v>
      </c>
      <c r="AW136">
        <v>1</v>
      </c>
      <c r="AX136">
        <v>3</v>
      </c>
      <c r="AY136">
        <v>0</v>
      </c>
      <c r="AZ136">
        <v>0</v>
      </c>
      <c r="BA136">
        <v>100</v>
      </c>
      <c r="BB136">
        <v>100</v>
      </c>
      <c r="BC136">
        <v>100</v>
      </c>
      <c r="BD136">
        <v>100</v>
      </c>
      <c r="BE136">
        <v>1</v>
      </c>
      <c r="BF136">
        <v>15000</v>
      </c>
      <c r="BG136">
        <v>1000</v>
      </c>
      <c r="BH136" s="8">
        <f>Granger_Inventory[[#This Row],[land_extract]]*Lookups!$B$3</f>
        <v>17680.230269359956</v>
      </c>
      <c r="BI136" s="8">
        <f>IF(Granger_Inventory[[#This Row],[bldg_style]]="",0,Lookups!$B$2)</f>
        <v>29703.559000000001</v>
      </c>
      <c r="BJ136" s="8">
        <f>_xlfn.IFNA(VLOOKUP(Granger_Inventory[[#This Row],[quality]],Lookups!$H$2:$J$14,3,FALSE),0)</f>
        <v>71767</v>
      </c>
      <c r="BK136" s="8">
        <f>_xlfn.IFNA(VLOOKUP(Granger_Inventory[[#This Row],[condition]],Lookups!$H$17:$J$24,3,FALSE),0)</f>
        <v>80695</v>
      </c>
      <c r="BL136" s="8">
        <f>Granger_Inventory[[#This Row],[Age]]*Lookups!$B$16</f>
        <v>-2695.3042999999998</v>
      </c>
      <c r="BM136" s="8">
        <f>Granger_Inventory[[#This Row],[living_area]]*Lookups!$B$17</f>
        <v>97411.172231999997</v>
      </c>
      <c r="BN136" s="8">
        <f>(Granger_Inventory[[#This Row],[att_gar]]+Granger_Inventory[[#This Row],[blt_gar]])*Lookups!$B$18</f>
        <v>17053.550272</v>
      </c>
      <c r="BO136" s="8">
        <f>Granger_Inventory[[#This Row],[Patio]]*Lookups!$B$19</f>
        <v>0</v>
      </c>
      <c r="BP136" s="8">
        <f>SUM(Granger_Inventory[[#This Row],[Intercept]:[Patio_Value]])*Granger_Inventory[[#This Row],[res_pct]]</f>
        <v>293934.97720400005</v>
      </c>
      <c r="BQ136" s="8">
        <f>Granger_Inventory[[#This Row],[land_value]]</f>
        <v>17680.230269359956</v>
      </c>
      <c r="BR136" s="4">
        <f>_xlfn.IFNA(VLOOKUP(Granger_Inventory[[#This Row],[quality]],Lookups!$A$25:$C$35,3,FALSE),1)</f>
        <v>0.992092799099482</v>
      </c>
      <c r="BS136" s="4">
        <f>_xlfn.IFNA(VLOOKUP(Granger_Inventory[[#This Row],[condition]],Lookups!$A$38:$C$45,3,FALSE),1)</f>
        <v>0.99484195314749324</v>
      </c>
      <c r="BT136" s="4">
        <f>IF(Granger_Inventory[[#This Row],[decade]]="",1,_xlfn.IFNA(VLOOKUP(Granger_Inventory[[#This Row],[decade]],Lookups!$G$28:$I$42,3,FALSE),1))</f>
        <v>1.0159161060824455</v>
      </c>
      <c r="BU136" s="4">
        <f>_xlfn.IFNA(VLOOKUP(Granger_Inventory[[#This Row],[living_area_range]],Lookups!$A$48:$C$57,3,FALSE),1)</f>
        <v>0.97960506760539345</v>
      </c>
      <c r="BV136" s="4">
        <f>AVERAGE(Granger_Inventory[[#This Row],[qual_adj]:[living_range_adj]])</f>
        <v>0.9956139814837035</v>
      </c>
      <c r="BW136" s="8">
        <f>(Granger_Inventory[[#This Row],[sum_land]]-IF(Granger_Inventory[[#This Row],[no_utilities]]=1,12000,0))/IF(Granger_Inventory[[#This Row],[unbuildable]]=1,2,1)</f>
        <v>17680.230269359956</v>
      </c>
      <c r="BX136" s="8">
        <f>Granger_Inventory[[#This Row],[pre_res]]*Granger_Inventory[[#This Row],[overall_adj]]</f>
        <v>292645.77295139612</v>
      </c>
      <c r="BY13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6">
        <f>ROUND(Granger_Inventory[[#This Row],[detatched_value]]*Lookups!$I$45,-2)</f>
        <v>0</v>
      </c>
      <c r="CA136">
        <f>IF(ROUND(Granger_Inventory[[#This Row],[adj_res]]*Lookups!$I$45,-2)&lt;Granger_Inventory[[#This Row],[min_res]],Granger_Inventory[[#This Row],[min_res]],ROUND(Granger_Inventory[[#This Row],[adj_res]]*Lookups!$I$45,-2))</f>
        <v>278000</v>
      </c>
      <c r="CB136">
        <f>Granger_Inventory[[#This Row],[final_det]]+Granger_Inventory[[#This Row],[final_res]]</f>
        <v>278000</v>
      </c>
      <c r="CC136">
        <f>Granger_Inventory[[#This Row],[final_land]]+Granger_Inventory[[#This Row],[final_imp]]+Granger_Inventory[[#This Row],[crop_value]]</f>
        <v>294800</v>
      </c>
      <c r="CE136" t="str">
        <f t="shared" si="2"/>
        <v>update valuation set market_land =16800, market_bldg=278000, market_total =294800, market_mdno =402, market_date ='9/10/2023' where link_id = (select link_id from parcel where parcel_year = '2024' and parcel_id = '21101641516');</v>
      </c>
    </row>
    <row r="137" spans="1:83" x14ac:dyDescent="0.25">
      <c r="A137">
        <v>21101641520</v>
      </c>
      <c r="B137">
        <v>0.14000000000000001</v>
      </c>
      <c r="C137">
        <v>6255</v>
      </c>
      <c r="D137" t="s">
        <v>137</v>
      </c>
      <c r="E137" t="s">
        <v>54</v>
      </c>
      <c r="F137" t="s">
        <v>54</v>
      </c>
      <c r="G137">
        <v>3</v>
      </c>
      <c r="H137" t="s">
        <v>55</v>
      </c>
      <c r="I137">
        <v>151500</v>
      </c>
      <c r="J137">
        <v>25900</v>
      </c>
      <c r="K137">
        <v>0.14000000000000001</v>
      </c>
      <c r="L13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7">
        <v>0</v>
      </c>
      <c r="N137">
        <v>0</v>
      </c>
      <c r="O137">
        <v>0</v>
      </c>
      <c r="P137">
        <v>47108.068500000001</v>
      </c>
      <c r="Q137">
        <v>122298</v>
      </c>
      <c r="R137">
        <f>(Granger_Inventory[[#This Row],[ln_acres]]*Granger_Inventory[[#This Row],[coeff]])+Granger_Inventory[[#This Row],[const]]</f>
        <v>29678.220883257934</v>
      </c>
      <c r="S137" t="s">
        <v>56</v>
      </c>
      <c r="T137">
        <v>1</v>
      </c>
      <c r="U137" t="s">
        <v>71</v>
      </c>
      <c r="V137" t="s">
        <v>77</v>
      </c>
      <c r="W137">
        <v>0</v>
      </c>
      <c r="X137">
        <v>0</v>
      </c>
      <c r="Y137">
        <v>15</v>
      </c>
      <c r="Z137">
        <v>15</v>
      </c>
      <c r="AA137">
        <v>20</v>
      </c>
      <c r="AB137">
        <v>1500</v>
      </c>
      <c r="AC137">
        <v>1200</v>
      </c>
      <c r="AD137">
        <v>1200</v>
      </c>
      <c r="AE137">
        <v>0</v>
      </c>
      <c r="AF137">
        <v>0</v>
      </c>
      <c r="AG137">
        <v>0</v>
      </c>
      <c r="AH137">
        <v>0</v>
      </c>
      <c r="AI137">
        <v>286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8</v>
      </c>
      <c r="AQ137">
        <v>0</v>
      </c>
      <c r="AR137">
        <v>0</v>
      </c>
      <c r="AS137" t="s">
        <v>59</v>
      </c>
      <c r="AT137">
        <v>1</v>
      </c>
      <c r="AU137" t="s">
        <v>63</v>
      </c>
      <c r="AV137" t="s">
        <v>65</v>
      </c>
      <c r="AW137">
        <v>1</v>
      </c>
      <c r="AX137">
        <v>3</v>
      </c>
      <c r="AY137">
        <v>0</v>
      </c>
      <c r="AZ137">
        <v>0</v>
      </c>
      <c r="BA137">
        <v>100</v>
      </c>
      <c r="BB137">
        <v>100</v>
      </c>
      <c r="BC137">
        <v>100</v>
      </c>
      <c r="BD137">
        <v>100</v>
      </c>
      <c r="BE137">
        <v>1</v>
      </c>
      <c r="BF137">
        <v>15000</v>
      </c>
      <c r="BG137">
        <v>1000</v>
      </c>
      <c r="BH137" s="8">
        <f>Granger_Inventory[[#This Row],[land_extract]]*Lookups!$B$3</f>
        <v>17680.230269359956</v>
      </c>
      <c r="BI137" s="8">
        <f>IF(Granger_Inventory[[#This Row],[bldg_style]]="",0,Lookups!$B$2)</f>
        <v>29703.559000000001</v>
      </c>
      <c r="BJ137" s="8">
        <f>_xlfn.IFNA(VLOOKUP(Granger_Inventory[[#This Row],[quality]],Lookups!$H$2:$J$14,3,FALSE),0)</f>
        <v>34195</v>
      </c>
      <c r="BK137" s="8">
        <f>_xlfn.IFNA(VLOOKUP(Granger_Inventory[[#This Row],[condition]],Lookups!$H$17:$J$24,3,FALSE),0)</f>
        <v>33736</v>
      </c>
      <c r="BL137" s="8">
        <f>Granger_Inventory[[#This Row],[Age]]*Lookups!$B$16</f>
        <v>-3109.9665</v>
      </c>
      <c r="BM137" s="8">
        <f>Granger_Inventory[[#This Row],[living_area]]*Lookups!$B$17</f>
        <v>80727.4908</v>
      </c>
      <c r="BN137" s="8">
        <f>(Granger_Inventory[[#This Row],[att_gar]]+Granger_Inventory[[#This Row],[blt_gar]])*Lookups!$B$18</f>
        <v>13856.009596</v>
      </c>
      <c r="BO137" s="8">
        <f>Granger_Inventory[[#This Row],[Patio]]*Lookups!$B$19</f>
        <v>0</v>
      </c>
      <c r="BP137" s="8">
        <f>SUM(Granger_Inventory[[#This Row],[Intercept]:[Patio_Value]])*Granger_Inventory[[#This Row],[res_pct]]</f>
        <v>189108.09289599999</v>
      </c>
      <c r="BQ137" s="8">
        <f>Granger_Inventory[[#This Row],[land_value]]</f>
        <v>17680.230269359956</v>
      </c>
      <c r="BR137" s="4">
        <f>_xlfn.IFNA(VLOOKUP(Granger_Inventory[[#This Row],[quality]],Lookups!$A$25:$C$35,3,FALSE),1)</f>
        <v>0.98258795897788032</v>
      </c>
      <c r="BS137" s="4">
        <f>_xlfn.IFNA(VLOOKUP(Granger_Inventory[[#This Row],[condition]],Lookups!$A$38:$C$45,3,FALSE),1)</f>
        <v>0.92294678898076177</v>
      </c>
      <c r="BT137" s="4">
        <f>IF(Granger_Inventory[[#This Row],[decade]]="",1,_xlfn.IFNA(VLOOKUP(Granger_Inventory[[#This Row],[decade]],Lookups!$G$28:$I$42,3,FALSE),1))</f>
        <v>1.0159161060824455</v>
      </c>
      <c r="BU137" s="4">
        <f>_xlfn.IFNA(VLOOKUP(Granger_Inventory[[#This Row],[living_area_range]],Lookups!$A$48:$C$57,3,FALSE),1)</f>
        <v>0.97960506760539345</v>
      </c>
      <c r="BV137" s="4">
        <f>AVERAGE(Granger_Inventory[[#This Row],[qual_adj]:[living_range_adj]])</f>
        <v>0.97526398041162032</v>
      </c>
      <c r="BW137" s="8">
        <f>(Granger_Inventory[[#This Row],[sum_land]]-IF(Granger_Inventory[[#This Row],[no_utilities]]=1,12000,0))/IF(Granger_Inventory[[#This Row],[unbuildable]]=1,2,1)</f>
        <v>17680.230269359956</v>
      </c>
      <c r="BX137" s="8">
        <f>Granger_Inventory[[#This Row],[pre_res]]*Granger_Inventory[[#This Row],[overall_adj]]</f>
        <v>184430.3114058034</v>
      </c>
      <c r="BY13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7">
        <f>ROUND(Granger_Inventory[[#This Row],[detatched_value]]*Lookups!$I$45,-2)</f>
        <v>0</v>
      </c>
      <c r="CA137">
        <f>IF(ROUND(Granger_Inventory[[#This Row],[adj_res]]*Lookups!$I$45,-2)&lt;Granger_Inventory[[#This Row],[min_res]],Granger_Inventory[[#This Row],[min_res]],ROUND(Granger_Inventory[[#This Row],[adj_res]]*Lookups!$I$45,-2))</f>
        <v>175200</v>
      </c>
      <c r="CB137">
        <f>Granger_Inventory[[#This Row],[final_det]]+Granger_Inventory[[#This Row],[final_res]]</f>
        <v>175200</v>
      </c>
      <c r="CC137">
        <f>Granger_Inventory[[#This Row],[final_land]]+Granger_Inventory[[#This Row],[final_imp]]+Granger_Inventory[[#This Row],[crop_value]]</f>
        <v>192000</v>
      </c>
      <c r="CE137" t="str">
        <f t="shared" si="2"/>
        <v>update valuation set market_land =16800, market_bldg=175200, market_total =192000, market_mdno =402, market_date ='9/10/2023' where link_id = (select link_id from parcel where parcel_year = '2024' and parcel_id = '21101641520');</v>
      </c>
    </row>
    <row r="138" spans="1:83" x14ac:dyDescent="0.25">
      <c r="A138">
        <v>21101641521</v>
      </c>
      <c r="B138">
        <v>0.14000000000000001</v>
      </c>
      <c r="C138">
        <v>6255</v>
      </c>
      <c r="D138" t="s">
        <v>137</v>
      </c>
      <c r="E138" t="s">
        <v>54</v>
      </c>
      <c r="F138" t="s">
        <v>54</v>
      </c>
      <c r="G138">
        <v>3</v>
      </c>
      <c r="H138" t="s">
        <v>55</v>
      </c>
      <c r="I138">
        <v>207500</v>
      </c>
      <c r="J138">
        <v>25900</v>
      </c>
      <c r="K138">
        <v>0.14000000000000001</v>
      </c>
      <c r="L13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38">
        <v>0</v>
      </c>
      <c r="N138">
        <v>0</v>
      </c>
      <c r="O138">
        <v>0</v>
      </c>
      <c r="P138">
        <v>47108.068500000001</v>
      </c>
      <c r="Q138">
        <v>122298</v>
      </c>
      <c r="R138">
        <f>(Granger_Inventory[[#This Row],[ln_acres]]*Granger_Inventory[[#This Row],[coeff]])+Granger_Inventory[[#This Row],[const]]</f>
        <v>29678.220883257934</v>
      </c>
      <c r="S138" t="s">
        <v>69</v>
      </c>
      <c r="T138">
        <v>1</v>
      </c>
      <c r="U138" t="s">
        <v>71</v>
      </c>
      <c r="V138" t="s">
        <v>70</v>
      </c>
      <c r="W138">
        <v>0</v>
      </c>
      <c r="X138">
        <v>0</v>
      </c>
      <c r="Y138">
        <v>10</v>
      </c>
      <c r="Z138">
        <v>10</v>
      </c>
      <c r="AA138">
        <v>10</v>
      </c>
      <c r="AB138">
        <v>1500</v>
      </c>
      <c r="AC138">
        <v>1200</v>
      </c>
      <c r="AD138">
        <v>1200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5</v>
      </c>
      <c r="AQ138">
        <v>0</v>
      </c>
      <c r="AR138">
        <v>0</v>
      </c>
      <c r="AS138" t="s">
        <v>59</v>
      </c>
      <c r="AT138">
        <v>0</v>
      </c>
      <c r="AU138" t="s">
        <v>83</v>
      </c>
      <c r="AV138" t="s">
        <v>65</v>
      </c>
      <c r="AW138">
        <v>0</v>
      </c>
      <c r="AX138">
        <v>3</v>
      </c>
      <c r="AY138">
        <v>0</v>
      </c>
      <c r="AZ138">
        <v>0</v>
      </c>
      <c r="BA138">
        <v>100</v>
      </c>
      <c r="BB138">
        <v>100</v>
      </c>
      <c r="BC138">
        <v>100</v>
      </c>
      <c r="BD138">
        <v>100</v>
      </c>
      <c r="BE138">
        <v>1</v>
      </c>
      <c r="BF138">
        <v>15000</v>
      </c>
      <c r="BG138">
        <v>1000</v>
      </c>
      <c r="BH138" s="8">
        <f>Granger_Inventory[[#This Row],[land_extract]]*Lookups!$B$3</f>
        <v>17680.230269359956</v>
      </c>
      <c r="BI138" s="8">
        <f>IF(Granger_Inventory[[#This Row],[bldg_style]]="",0,Lookups!$B$2)</f>
        <v>29703.559000000001</v>
      </c>
      <c r="BJ138" s="8">
        <f>_xlfn.IFNA(VLOOKUP(Granger_Inventory[[#This Row],[quality]],Lookups!$H$2:$J$14,3,FALSE),0)</f>
        <v>34195</v>
      </c>
      <c r="BK138" s="8">
        <f>_xlfn.IFNA(VLOOKUP(Granger_Inventory[[#This Row],[condition]],Lookups!$H$17:$J$24,3,FALSE),0)</f>
        <v>80695</v>
      </c>
      <c r="BL138" s="8">
        <f>Granger_Inventory[[#This Row],[Age]]*Lookups!$B$16</f>
        <v>-2073.3109999999997</v>
      </c>
      <c r="BM138" s="8">
        <f>Granger_Inventory[[#This Row],[living_area]]*Lookups!$B$17</f>
        <v>80727.4908</v>
      </c>
      <c r="BN138" s="8">
        <f>(Granger_Inventory[[#This Row],[att_gar]]+Granger_Inventory[[#This Row],[blt_gar]])*Lookups!$B$18</f>
        <v>0</v>
      </c>
      <c r="BO138" s="8">
        <f>Granger_Inventory[[#This Row],[Patio]]*Lookups!$B$19</f>
        <v>0</v>
      </c>
      <c r="BP138" s="8">
        <f>SUM(Granger_Inventory[[#This Row],[Intercept]:[Patio_Value]])*Granger_Inventory[[#This Row],[res_pct]]</f>
        <v>223247.73880000002</v>
      </c>
      <c r="BQ138" s="8">
        <f>Granger_Inventory[[#This Row],[land_value]]</f>
        <v>17680.230269359956</v>
      </c>
      <c r="BR138" s="4">
        <f>_xlfn.IFNA(VLOOKUP(Granger_Inventory[[#This Row],[quality]],Lookups!$A$25:$C$35,3,FALSE),1)</f>
        <v>0.98258795897788032</v>
      </c>
      <c r="BS138" s="4">
        <f>_xlfn.IFNA(VLOOKUP(Granger_Inventory[[#This Row],[condition]],Lookups!$A$38:$C$45,3,FALSE),1)</f>
        <v>0.99484195314749324</v>
      </c>
      <c r="BT138" s="4">
        <f>IF(Granger_Inventory[[#This Row],[decade]]="",1,_xlfn.IFNA(VLOOKUP(Granger_Inventory[[#This Row],[decade]],Lookups!$G$28:$I$42,3,FALSE),1))</f>
        <v>0.95532362136731586</v>
      </c>
      <c r="BU138" s="4">
        <f>_xlfn.IFNA(VLOOKUP(Granger_Inventory[[#This Row],[living_area_range]],Lookups!$A$48:$C$57,3,FALSE),1)</f>
        <v>0.97960506760539345</v>
      </c>
      <c r="BV138" s="4">
        <f>AVERAGE(Granger_Inventory[[#This Row],[qual_adj]:[living_range_adj]])</f>
        <v>0.97808965027452077</v>
      </c>
      <c r="BW138" s="8">
        <f>(Granger_Inventory[[#This Row],[sum_land]]-IF(Granger_Inventory[[#This Row],[no_utilities]]=1,12000,0))/IF(Granger_Inventory[[#This Row],[unbuildable]]=1,2,1)</f>
        <v>17680.230269359956</v>
      </c>
      <c r="BX138" s="8">
        <f>Granger_Inventory[[#This Row],[pre_res]]*Granger_Inventory[[#This Row],[overall_adj]]</f>
        <v>218356.30276746958</v>
      </c>
      <c r="BY13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38">
        <f>ROUND(Granger_Inventory[[#This Row],[detatched_value]]*Lookups!$I$45,-2)</f>
        <v>0</v>
      </c>
      <c r="CA138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38">
        <f>Granger_Inventory[[#This Row],[final_det]]+Granger_Inventory[[#This Row],[final_res]]</f>
        <v>207400</v>
      </c>
      <c r="CC138">
        <f>Granger_Inventory[[#This Row],[final_land]]+Granger_Inventory[[#This Row],[final_imp]]+Granger_Inventory[[#This Row],[crop_value]]</f>
        <v>224200</v>
      </c>
      <c r="CE138" t="str">
        <f t="shared" si="2"/>
        <v>update valuation set market_land =16800, market_bldg=207400, market_total =224200, market_mdno =402, market_date ='9/10/2023' where link_id = (select link_id from parcel where parcel_year = '2024' and parcel_id = '21101641521');</v>
      </c>
    </row>
    <row r="139" spans="1:83" x14ac:dyDescent="0.25">
      <c r="A139">
        <v>21101641522</v>
      </c>
      <c r="B139">
        <v>0.15</v>
      </c>
      <c r="C139">
        <v>6423</v>
      </c>
      <c r="D139" t="s">
        <v>137</v>
      </c>
      <c r="E139" t="s">
        <v>54</v>
      </c>
      <c r="F139" t="s">
        <v>54</v>
      </c>
      <c r="G139">
        <v>3</v>
      </c>
      <c r="H139" t="s">
        <v>55</v>
      </c>
      <c r="I139">
        <v>207500</v>
      </c>
      <c r="J139">
        <v>26300</v>
      </c>
      <c r="K139">
        <v>0.15</v>
      </c>
      <c r="L13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39">
        <v>0</v>
      </c>
      <c r="N139">
        <v>0</v>
      </c>
      <c r="O139">
        <v>0</v>
      </c>
      <c r="P139">
        <v>47108.068500000001</v>
      </c>
      <c r="Q139">
        <v>122298</v>
      </c>
      <c r="R139">
        <f>(Granger_Inventory[[#This Row],[ln_acres]]*Granger_Inventory[[#This Row],[coeff]])+Granger_Inventory[[#This Row],[const]]</f>
        <v>32928.341799276939</v>
      </c>
      <c r="S139" t="s">
        <v>69</v>
      </c>
      <c r="T139">
        <v>1</v>
      </c>
      <c r="U139" t="s">
        <v>71</v>
      </c>
      <c r="V139" t="s">
        <v>70</v>
      </c>
      <c r="W139">
        <v>0</v>
      </c>
      <c r="X139">
        <v>0</v>
      </c>
      <c r="Y139">
        <v>10</v>
      </c>
      <c r="Z139">
        <v>10</v>
      </c>
      <c r="AA139">
        <v>10</v>
      </c>
      <c r="AB139">
        <v>1500</v>
      </c>
      <c r="AC139">
        <v>1200</v>
      </c>
      <c r="AD139">
        <v>1200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5</v>
      </c>
      <c r="AQ139">
        <v>0</v>
      </c>
      <c r="AR139">
        <v>0</v>
      </c>
      <c r="AS139" t="s">
        <v>59</v>
      </c>
      <c r="AT139">
        <v>0</v>
      </c>
      <c r="AU139" t="s">
        <v>83</v>
      </c>
      <c r="AV139" t="s">
        <v>65</v>
      </c>
      <c r="AW139">
        <v>0</v>
      </c>
      <c r="AX139">
        <v>3</v>
      </c>
      <c r="AY139">
        <v>0</v>
      </c>
      <c r="AZ139">
        <v>0</v>
      </c>
      <c r="BA139">
        <v>100</v>
      </c>
      <c r="BB139">
        <v>100</v>
      </c>
      <c r="BC139">
        <v>100</v>
      </c>
      <c r="BD139">
        <v>100</v>
      </c>
      <c r="BE139">
        <v>1</v>
      </c>
      <c r="BF139">
        <v>15000</v>
      </c>
      <c r="BG139">
        <v>1000</v>
      </c>
      <c r="BH139" s="8">
        <f>Granger_Inventory[[#This Row],[land_extract]]*Lookups!$B$3</f>
        <v>19616.42740275669</v>
      </c>
      <c r="BI139" s="8">
        <f>IF(Granger_Inventory[[#This Row],[bldg_style]]="",0,Lookups!$B$2)</f>
        <v>29703.559000000001</v>
      </c>
      <c r="BJ139" s="8">
        <f>_xlfn.IFNA(VLOOKUP(Granger_Inventory[[#This Row],[quality]],Lookups!$H$2:$J$14,3,FALSE),0)</f>
        <v>34195</v>
      </c>
      <c r="BK139" s="8">
        <f>_xlfn.IFNA(VLOOKUP(Granger_Inventory[[#This Row],[condition]],Lookups!$H$17:$J$24,3,FALSE),0)</f>
        <v>80695</v>
      </c>
      <c r="BL139" s="8">
        <f>Granger_Inventory[[#This Row],[Age]]*Lookups!$B$16</f>
        <v>-2073.3109999999997</v>
      </c>
      <c r="BM139" s="8">
        <f>Granger_Inventory[[#This Row],[living_area]]*Lookups!$B$17</f>
        <v>80727.4908</v>
      </c>
      <c r="BN139" s="8">
        <f>(Granger_Inventory[[#This Row],[att_gar]]+Granger_Inventory[[#This Row],[blt_gar]])*Lookups!$B$18</f>
        <v>0</v>
      </c>
      <c r="BO139" s="8">
        <f>Granger_Inventory[[#This Row],[Patio]]*Lookups!$B$19</f>
        <v>0</v>
      </c>
      <c r="BP139" s="8">
        <f>SUM(Granger_Inventory[[#This Row],[Intercept]:[Patio_Value]])*Granger_Inventory[[#This Row],[res_pct]]</f>
        <v>223247.73880000002</v>
      </c>
      <c r="BQ139" s="8">
        <f>Granger_Inventory[[#This Row],[land_value]]</f>
        <v>19616.42740275669</v>
      </c>
      <c r="BR139" s="4">
        <f>_xlfn.IFNA(VLOOKUP(Granger_Inventory[[#This Row],[quality]],Lookups!$A$25:$C$35,3,FALSE),1)</f>
        <v>0.98258795897788032</v>
      </c>
      <c r="BS139" s="4">
        <f>_xlfn.IFNA(VLOOKUP(Granger_Inventory[[#This Row],[condition]],Lookups!$A$38:$C$45,3,FALSE),1)</f>
        <v>0.99484195314749324</v>
      </c>
      <c r="BT139" s="4">
        <f>IF(Granger_Inventory[[#This Row],[decade]]="",1,_xlfn.IFNA(VLOOKUP(Granger_Inventory[[#This Row],[decade]],Lookups!$G$28:$I$42,3,FALSE),1))</f>
        <v>0.95532362136731586</v>
      </c>
      <c r="BU139" s="4">
        <f>_xlfn.IFNA(VLOOKUP(Granger_Inventory[[#This Row],[living_area_range]],Lookups!$A$48:$C$57,3,FALSE),1)</f>
        <v>0.97960506760539345</v>
      </c>
      <c r="BV139" s="4">
        <f>AVERAGE(Granger_Inventory[[#This Row],[qual_adj]:[living_range_adj]])</f>
        <v>0.97808965027452077</v>
      </c>
      <c r="BW139" s="8">
        <f>(Granger_Inventory[[#This Row],[sum_land]]-IF(Granger_Inventory[[#This Row],[no_utilities]]=1,12000,0))/IF(Granger_Inventory[[#This Row],[unbuildable]]=1,2,1)</f>
        <v>19616.42740275669</v>
      </c>
      <c r="BX139" s="8">
        <f>Granger_Inventory[[#This Row],[pre_res]]*Granger_Inventory[[#This Row],[overall_adj]]</f>
        <v>218356.30276746958</v>
      </c>
      <c r="BY13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39">
        <f>ROUND(Granger_Inventory[[#This Row],[detatched_value]]*Lookups!$I$45,-2)</f>
        <v>0</v>
      </c>
      <c r="CA139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39">
        <f>Granger_Inventory[[#This Row],[final_det]]+Granger_Inventory[[#This Row],[final_res]]</f>
        <v>207400</v>
      </c>
      <c r="CC139">
        <f>Granger_Inventory[[#This Row],[final_land]]+Granger_Inventory[[#This Row],[final_imp]]+Granger_Inventory[[#This Row],[crop_value]]</f>
        <v>226000</v>
      </c>
      <c r="CE139" t="str">
        <f t="shared" si="2"/>
        <v>update valuation set market_land =18600, market_bldg=207400, market_total =226000, market_mdno =402, market_date ='9/10/2023' where link_id = (select link_id from parcel where parcel_year = '2024' and parcel_id = '21101641522');</v>
      </c>
    </row>
    <row r="140" spans="1:83" x14ac:dyDescent="0.25">
      <c r="A140">
        <v>21101641525</v>
      </c>
      <c r="B140">
        <v>0.28000000000000003</v>
      </c>
      <c r="C140">
        <v>12194</v>
      </c>
      <c r="D140" t="s">
        <v>137</v>
      </c>
      <c r="E140" t="s">
        <v>54</v>
      </c>
      <c r="F140" t="s">
        <v>54</v>
      </c>
      <c r="G140">
        <v>3</v>
      </c>
      <c r="H140" t="s">
        <v>55</v>
      </c>
      <c r="I140">
        <v>301700</v>
      </c>
      <c r="J140">
        <v>30000</v>
      </c>
      <c r="K140">
        <v>0.28000000000000003</v>
      </c>
      <c r="L140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140">
        <v>0</v>
      </c>
      <c r="N140">
        <v>0</v>
      </c>
      <c r="O140">
        <v>0</v>
      </c>
      <c r="P140">
        <v>47108.068500000001</v>
      </c>
      <c r="Q140">
        <v>122298</v>
      </c>
      <c r="R140">
        <f>(Granger_Inventory[[#This Row],[ln_acres]]*Granger_Inventory[[#This Row],[coeff]])+Granger_Inventory[[#This Row],[const]]</f>
        <v>62331.045745657706</v>
      </c>
      <c r="S140" t="s">
        <v>56</v>
      </c>
      <c r="T140">
        <v>1</v>
      </c>
      <c r="U140" t="s">
        <v>57</v>
      </c>
      <c r="V140" t="s">
        <v>70</v>
      </c>
      <c r="W140">
        <v>0</v>
      </c>
      <c r="X140">
        <v>0</v>
      </c>
      <c r="Y140">
        <v>9</v>
      </c>
      <c r="Z140">
        <v>9</v>
      </c>
      <c r="AA140">
        <v>10</v>
      </c>
      <c r="AB140">
        <v>1500</v>
      </c>
      <c r="AC140">
        <v>1440</v>
      </c>
      <c r="AD140">
        <v>1440</v>
      </c>
      <c r="AE140">
        <v>0</v>
      </c>
      <c r="AF140">
        <v>0</v>
      </c>
      <c r="AG140">
        <v>0</v>
      </c>
      <c r="AH140">
        <v>0</v>
      </c>
      <c r="AI140">
        <v>572</v>
      </c>
      <c r="AJ140">
        <v>0</v>
      </c>
      <c r="AK140">
        <v>0</v>
      </c>
      <c r="AL140">
        <v>0</v>
      </c>
      <c r="AM140">
        <v>260</v>
      </c>
      <c r="AN140">
        <v>72</v>
      </c>
      <c r="AO140">
        <v>260</v>
      </c>
      <c r="AP140">
        <v>8</v>
      </c>
      <c r="AQ140">
        <v>0</v>
      </c>
      <c r="AR140">
        <v>0</v>
      </c>
      <c r="AS140" t="s">
        <v>59</v>
      </c>
      <c r="AT140">
        <v>1</v>
      </c>
      <c r="AU140" t="s">
        <v>60</v>
      </c>
      <c r="AV140" t="s">
        <v>65</v>
      </c>
      <c r="AW140">
        <v>1</v>
      </c>
      <c r="AX140">
        <v>3</v>
      </c>
      <c r="AY140">
        <v>0</v>
      </c>
      <c r="AZ140">
        <v>0</v>
      </c>
      <c r="BA140">
        <v>100</v>
      </c>
      <c r="BB140">
        <v>100</v>
      </c>
      <c r="BC140">
        <v>100</v>
      </c>
      <c r="BD140">
        <v>100</v>
      </c>
      <c r="BE140">
        <v>1</v>
      </c>
      <c r="BF140">
        <v>15000</v>
      </c>
      <c r="BG140">
        <v>1000</v>
      </c>
      <c r="BH140" s="8">
        <f>Granger_Inventory[[#This Row],[land_extract]]*Lookups!$B$3</f>
        <v>37132.523746897263</v>
      </c>
      <c r="BI140" s="8">
        <f>IF(Granger_Inventory[[#This Row],[bldg_style]]="",0,Lookups!$B$2)</f>
        <v>29703.559000000001</v>
      </c>
      <c r="BJ140" s="8">
        <f>_xlfn.IFNA(VLOOKUP(Granger_Inventory[[#This Row],[quality]],Lookups!$H$2:$J$14,3,FALSE),0)</f>
        <v>56414</v>
      </c>
      <c r="BK140" s="8">
        <f>_xlfn.IFNA(VLOOKUP(Granger_Inventory[[#This Row],[condition]],Lookups!$H$17:$J$24,3,FALSE),0)</f>
        <v>80695</v>
      </c>
      <c r="BL140" s="8">
        <f>Granger_Inventory[[#This Row],[Age]]*Lookups!$B$16</f>
        <v>-1865.9798999999998</v>
      </c>
      <c r="BM140" s="8">
        <f>Granger_Inventory[[#This Row],[living_area]]*Lookups!$B$17</f>
        <v>96872.988960000002</v>
      </c>
      <c r="BN140" s="8">
        <f>(Granger_Inventory[[#This Row],[att_gar]]+Granger_Inventory[[#This Row],[blt_gar]])*Lookups!$B$18</f>
        <v>27712.019192</v>
      </c>
      <c r="BO140" s="8">
        <f>Granger_Inventory[[#This Row],[Patio]]*Lookups!$B$19</f>
        <v>14121.924959999998</v>
      </c>
      <c r="BP140" s="8">
        <f>SUM(Granger_Inventory[[#This Row],[Intercept]:[Patio_Value]])*Granger_Inventory[[#This Row],[res_pct]]</f>
        <v>303653.51221199997</v>
      </c>
      <c r="BQ140" s="8">
        <f>Granger_Inventory[[#This Row],[land_value]]</f>
        <v>37132.523746897263</v>
      </c>
      <c r="BR140" s="4">
        <f>_xlfn.IFNA(VLOOKUP(Granger_Inventory[[#This Row],[quality]],Lookups!$A$25:$C$35,3,FALSE),1)</f>
        <v>0.98791809110152173</v>
      </c>
      <c r="BS140" s="4">
        <f>_xlfn.IFNA(VLOOKUP(Granger_Inventory[[#This Row],[condition]],Lookups!$A$38:$C$45,3,FALSE),1)</f>
        <v>0.99484195314749324</v>
      </c>
      <c r="BT140" s="4">
        <f>IF(Granger_Inventory[[#This Row],[decade]]="",1,_xlfn.IFNA(VLOOKUP(Granger_Inventory[[#This Row],[decade]],Lookups!$G$28:$I$42,3,FALSE),1))</f>
        <v>0.95532362136731586</v>
      </c>
      <c r="BU140" s="4">
        <f>_xlfn.IFNA(VLOOKUP(Granger_Inventory[[#This Row],[living_area_range]],Lookups!$A$48:$C$57,3,FALSE),1)</f>
        <v>0.97960506760539345</v>
      </c>
      <c r="BV140" s="4">
        <f>AVERAGE(Granger_Inventory[[#This Row],[qual_adj]:[living_range_adj]])</f>
        <v>0.97942218330543107</v>
      </c>
      <c r="BW140" s="8">
        <f>(Granger_Inventory[[#This Row],[sum_land]]-IF(Granger_Inventory[[#This Row],[no_utilities]]=1,12000,0))/IF(Granger_Inventory[[#This Row],[unbuildable]]=1,2,1)</f>
        <v>37132.523746897263</v>
      </c>
      <c r="BX140" s="8">
        <f>Granger_Inventory[[#This Row],[pre_res]]*Granger_Inventory[[#This Row],[overall_adj]]</f>
        <v>297404.98589903937</v>
      </c>
      <c r="BY140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140">
        <f>ROUND(Granger_Inventory[[#This Row],[detatched_value]]*Lookups!$I$45,-2)</f>
        <v>0</v>
      </c>
      <c r="CA140">
        <f>IF(ROUND(Granger_Inventory[[#This Row],[adj_res]]*Lookups!$I$45,-2)&lt;Granger_Inventory[[#This Row],[min_res]],Granger_Inventory[[#This Row],[min_res]],ROUND(Granger_Inventory[[#This Row],[adj_res]]*Lookups!$I$45,-2))</f>
        <v>282500</v>
      </c>
      <c r="CB140">
        <f>Granger_Inventory[[#This Row],[final_det]]+Granger_Inventory[[#This Row],[final_res]]</f>
        <v>282500</v>
      </c>
      <c r="CC140">
        <f>Granger_Inventory[[#This Row],[final_land]]+Granger_Inventory[[#This Row],[final_imp]]+Granger_Inventory[[#This Row],[crop_value]]</f>
        <v>317800</v>
      </c>
      <c r="CE140" t="str">
        <f t="shared" si="2"/>
        <v>update valuation set market_land =35300, market_bldg=282500, market_total =317800, market_mdno =402, market_date ='9/10/2023' where link_id = (select link_id from parcel where parcel_year = '2024' and parcel_id = '21101641525');</v>
      </c>
    </row>
    <row r="141" spans="1:83" x14ac:dyDescent="0.25">
      <c r="A141">
        <v>21101641532</v>
      </c>
      <c r="B141">
        <v>0.14000000000000001</v>
      </c>
      <c r="C141">
        <v>6105</v>
      </c>
      <c r="D141" t="s">
        <v>137</v>
      </c>
      <c r="E141" t="s">
        <v>54</v>
      </c>
      <c r="F141" t="s">
        <v>54</v>
      </c>
      <c r="G141">
        <v>3</v>
      </c>
      <c r="H141" t="s">
        <v>55</v>
      </c>
      <c r="I141">
        <v>209800</v>
      </c>
      <c r="J141">
        <v>25900</v>
      </c>
      <c r="K141">
        <v>0.14000000000000001</v>
      </c>
      <c r="L14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1">
        <v>0</v>
      </c>
      <c r="N141">
        <v>0</v>
      </c>
      <c r="O141">
        <v>0</v>
      </c>
      <c r="P141">
        <v>47108.068500000001</v>
      </c>
      <c r="Q141">
        <v>122298</v>
      </c>
      <c r="R141">
        <f>(Granger_Inventory[[#This Row],[ln_acres]]*Granger_Inventory[[#This Row],[coeff]])+Granger_Inventory[[#This Row],[const]]</f>
        <v>29678.220883257934</v>
      </c>
      <c r="S141" t="s">
        <v>69</v>
      </c>
      <c r="T141">
        <v>1</v>
      </c>
      <c r="U141" t="s">
        <v>71</v>
      </c>
      <c r="V141" t="s">
        <v>70</v>
      </c>
      <c r="W141">
        <v>0</v>
      </c>
      <c r="X141">
        <v>0</v>
      </c>
      <c r="Y141">
        <v>10</v>
      </c>
      <c r="Z141">
        <v>10</v>
      </c>
      <c r="AA141">
        <v>10</v>
      </c>
      <c r="AB141">
        <v>1500</v>
      </c>
      <c r="AC141">
        <v>1200</v>
      </c>
      <c r="AD141">
        <v>1200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6</v>
      </c>
      <c r="AQ141">
        <v>0</v>
      </c>
      <c r="AR141">
        <v>0</v>
      </c>
      <c r="AS141" t="s">
        <v>59</v>
      </c>
      <c r="AT141">
        <v>1</v>
      </c>
      <c r="AU141" t="s">
        <v>68</v>
      </c>
      <c r="AV141" t="s">
        <v>65</v>
      </c>
      <c r="AW141">
        <v>0</v>
      </c>
      <c r="AX141">
        <v>3</v>
      </c>
      <c r="AY141">
        <v>0</v>
      </c>
      <c r="AZ141">
        <v>0</v>
      </c>
      <c r="BA141">
        <v>100</v>
      </c>
      <c r="BB141">
        <v>100</v>
      </c>
      <c r="BC141">
        <v>100</v>
      </c>
      <c r="BD141">
        <v>100</v>
      </c>
      <c r="BE141">
        <v>1</v>
      </c>
      <c r="BF141">
        <v>15000</v>
      </c>
      <c r="BG141">
        <v>1000</v>
      </c>
      <c r="BH141" s="8">
        <f>Granger_Inventory[[#This Row],[land_extract]]*Lookups!$B$3</f>
        <v>17680.230269359956</v>
      </c>
      <c r="BI141" s="8">
        <f>IF(Granger_Inventory[[#This Row],[bldg_style]]="",0,Lookups!$B$2)</f>
        <v>29703.559000000001</v>
      </c>
      <c r="BJ141" s="8">
        <f>_xlfn.IFNA(VLOOKUP(Granger_Inventory[[#This Row],[quality]],Lookups!$H$2:$J$14,3,FALSE),0)</f>
        <v>34195</v>
      </c>
      <c r="BK141" s="8">
        <f>_xlfn.IFNA(VLOOKUP(Granger_Inventory[[#This Row],[condition]],Lookups!$H$17:$J$24,3,FALSE),0)</f>
        <v>80695</v>
      </c>
      <c r="BL141" s="8">
        <f>Granger_Inventory[[#This Row],[Age]]*Lookups!$B$16</f>
        <v>-2073.3109999999997</v>
      </c>
      <c r="BM141" s="8">
        <f>Granger_Inventory[[#This Row],[living_area]]*Lookups!$B$17</f>
        <v>80727.4908</v>
      </c>
      <c r="BN141" s="8">
        <f>(Granger_Inventory[[#This Row],[att_gar]]+Granger_Inventory[[#This Row],[blt_gar]])*Lookups!$B$18</f>
        <v>0</v>
      </c>
      <c r="BO141" s="8">
        <f>Granger_Inventory[[#This Row],[Patio]]*Lookups!$B$19</f>
        <v>0</v>
      </c>
      <c r="BP141" s="8">
        <f>SUM(Granger_Inventory[[#This Row],[Intercept]:[Patio_Value]])*Granger_Inventory[[#This Row],[res_pct]]</f>
        <v>223247.73880000002</v>
      </c>
      <c r="BQ141" s="8">
        <f>Granger_Inventory[[#This Row],[land_value]]</f>
        <v>17680.230269359956</v>
      </c>
      <c r="BR141" s="4">
        <f>_xlfn.IFNA(VLOOKUP(Granger_Inventory[[#This Row],[quality]],Lookups!$A$25:$C$35,3,FALSE),1)</f>
        <v>0.98258795897788032</v>
      </c>
      <c r="BS141" s="4">
        <f>_xlfn.IFNA(VLOOKUP(Granger_Inventory[[#This Row],[condition]],Lookups!$A$38:$C$45,3,FALSE),1)</f>
        <v>0.99484195314749324</v>
      </c>
      <c r="BT141" s="4">
        <f>IF(Granger_Inventory[[#This Row],[decade]]="",1,_xlfn.IFNA(VLOOKUP(Granger_Inventory[[#This Row],[decade]],Lookups!$G$28:$I$42,3,FALSE),1))</f>
        <v>0.95532362136731586</v>
      </c>
      <c r="BU141" s="4">
        <f>_xlfn.IFNA(VLOOKUP(Granger_Inventory[[#This Row],[living_area_range]],Lookups!$A$48:$C$57,3,FALSE),1)</f>
        <v>0.97960506760539345</v>
      </c>
      <c r="BV141" s="4">
        <f>AVERAGE(Granger_Inventory[[#This Row],[qual_adj]:[living_range_adj]])</f>
        <v>0.97808965027452077</v>
      </c>
      <c r="BW141" s="8">
        <f>(Granger_Inventory[[#This Row],[sum_land]]-IF(Granger_Inventory[[#This Row],[no_utilities]]=1,12000,0))/IF(Granger_Inventory[[#This Row],[unbuildable]]=1,2,1)</f>
        <v>17680.230269359956</v>
      </c>
      <c r="BX141" s="8">
        <f>Granger_Inventory[[#This Row],[pre_res]]*Granger_Inventory[[#This Row],[overall_adj]]</f>
        <v>218356.30276746958</v>
      </c>
      <c r="BY14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1">
        <f>ROUND(Granger_Inventory[[#This Row],[detatched_value]]*Lookups!$I$45,-2)</f>
        <v>0</v>
      </c>
      <c r="CA141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41">
        <f>Granger_Inventory[[#This Row],[final_det]]+Granger_Inventory[[#This Row],[final_res]]</f>
        <v>207400</v>
      </c>
      <c r="CC141">
        <f>Granger_Inventory[[#This Row],[final_land]]+Granger_Inventory[[#This Row],[final_imp]]+Granger_Inventory[[#This Row],[crop_value]]</f>
        <v>224200</v>
      </c>
      <c r="CE141" t="str">
        <f t="shared" si="2"/>
        <v>update valuation set market_land =16800, market_bldg=207400, market_total =224200, market_mdno =402, market_date ='9/10/2023' where link_id = (select link_id from parcel where parcel_year = '2024' and parcel_id = '21101641532');</v>
      </c>
    </row>
    <row r="142" spans="1:83" x14ac:dyDescent="0.25">
      <c r="A142">
        <v>21101641533</v>
      </c>
      <c r="B142">
        <v>0.14000000000000001</v>
      </c>
      <c r="C142">
        <v>6106</v>
      </c>
      <c r="D142" t="s">
        <v>137</v>
      </c>
      <c r="E142" t="s">
        <v>54</v>
      </c>
      <c r="F142" t="s">
        <v>54</v>
      </c>
      <c r="G142">
        <v>3</v>
      </c>
      <c r="H142" t="s">
        <v>55</v>
      </c>
      <c r="I142">
        <v>207500</v>
      </c>
      <c r="J142">
        <v>25900</v>
      </c>
      <c r="K142">
        <v>0.14000000000000001</v>
      </c>
      <c r="L14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2">
        <v>0</v>
      </c>
      <c r="N142">
        <v>0</v>
      </c>
      <c r="O142">
        <v>0</v>
      </c>
      <c r="P142">
        <v>47108.068500000001</v>
      </c>
      <c r="Q142">
        <v>122298</v>
      </c>
      <c r="R142">
        <f>(Granger_Inventory[[#This Row],[ln_acres]]*Granger_Inventory[[#This Row],[coeff]])+Granger_Inventory[[#This Row],[const]]</f>
        <v>29678.220883257934</v>
      </c>
      <c r="S142" t="s">
        <v>69</v>
      </c>
      <c r="T142">
        <v>1</v>
      </c>
      <c r="U142" t="s">
        <v>71</v>
      </c>
      <c r="V142" t="s">
        <v>70</v>
      </c>
      <c r="W142">
        <v>0</v>
      </c>
      <c r="X142">
        <v>0</v>
      </c>
      <c r="Y142">
        <v>10</v>
      </c>
      <c r="Z142">
        <v>10</v>
      </c>
      <c r="AA142">
        <v>10</v>
      </c>
      <c r="AB142">
        <v>1500</v>
      </c>
      <c r="AC142">
        <v>1200</v>
      </c>
      <c r="AD142">
        <v>1200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5</v>
      </c>
      <c r="AQ142">
        <v>0</v>
      </c>
      <c r="AR142">
        <v>0</v>
      </c>
      <c r="AS142" t="s">
        <v>59</v>
      </c>
      <c r="AT142">
        <v>0</v>
      </c>
      <c r="AU142" t="s">
        <v>83</v>
      </c>
      <c r="AV142" t="s">
        <v>65</v>
      </c>
      <c r="AW142">
        <v>0</v>
      </c>
      <c r="AX142">
        <v>3</v>
      </c>
      <c r="AY142">
        <v>0</v>
      </c>
      <c r="AZ142">
        <v>0</v>
      </c>
      <c r="BA142">
        <v>100</v>
      </c>
      <c r="BB142">
        <v>100</v>
      </c>
      <c r="BC142">
        <v>100</v>
      </c>
      <c r="BD142">
        <v>100</v>
      </c>
      <c r="BE142">
        <v>1</v>
      </c>
      <c r="BF142">
        <v>15000</v>
      </c>
      <c r="BG142">
        <v>1000</v>
      </c>
      <c r="BH142" s="8">
        <f>Granger_Inventory[[#This Row],[land_extract]]*Lookups!$B$3</f>
        <v>17680.230269359956</v>
      </c>
      <c r="BI142" s="8">
        <f>IF(Granger_Inventory[[#This Row],[bldg_style]]="",0,Lookups!$B$2)</f>
        <v>29703.559000000001</v>
      </c>
      <c r="BJ142" s="8">
        <f>_xlfn.IFNA(VLOOKUP(Granger_Inventory[[#This Row],[quality]],Lookups!$H$2:$J$14,3,FALSE),0)</f>
        <v>34195</v>
      </c>
      <c r="BK142" s="8">
        <f>_xlfn.IFNA(VLOOKUP(Granger_Inventory[[#This Row],[condition]],Lookups!$H$17:$J$24,3,FALSE),0)</f>
        <v>80695</v>
      </c>
      <c r="BL142" s="8">
        <f>Granger_Inventory[[#This Row],[Age]]*Lookups!$B$16</f>
        <v>-2073.3109999999997</v>
      </c>
      <c r="BM142" s="8">
        <f>Granger_Inventory[[#This Row],[living_area]]*Lookups!$B$17</f>
        <v>80727.4908</v>
      </c>
      <c r="BN142" s="8">
        <f>(Granger_Inventory[[#This Row],[att_gar]]+Granger_Inventory[[#This Row],[blt_gar]])*Lookups!$B$18</f>
        <v>0</v>
      </c>
      <c r="BO142" s="8">
        <f>Granger_Inventory[[#This Row],[Patio]]*Lookups!$B$19</f>
        <v>0</v>
      </c>
      <c r="BP142" s="8">
        <f>SUM(Granger_Inventory[[#This Row],[Intercept]:[Patio_Value]])*Granger_Inventory[[#This Row],[res_pct]]</f>
        <v>223247.73880000002</v>
      </c>
      <c r="BQ142" s="8">
        <f>Granger_Inventory[[#This Row],[land_value]]</f>
        <v>17680.230269359956</v>
      </c>
      <c r="BR142" s="4">
        <f>_xlfn.IFNA(VLOOKUP(Granger_Inventory[[#This Row],[quality]],Lookups!$A$25:$C$35,3,FALSE),1)</f>
        <v>0.98258795897788032</v>
      </c>
      <c r="BS142" s="4">
        <f>_xlfn.IFNA(VLOOKUP(Granger_Inventory[[#This Row],[condition]],Lookups!$A$38:$C$45,3,FALSE),1)</f>
        <v>0.99484195314749324</v>
      </c>
      <c r="BT142" s="4">
        <f>IF(Granger_Inventory[[#This Row],[decade]]="",1,_xlfn.IFNA(VLOOKUP(Granger_Inventory[[#This Row],[decade]],Lookups!$G$28:$I$42,3,FALSE),1))</f>
        <v>0.95532362136731586</v>
      </c>
      <c r="BU142" s="4">
        <f>_xlfn.IFNA(VLOOKUP(Granger_Inventory[[#This Row],[living_area_range]],Lookups!$A$48:$C$57,3,FALSE),1)</f>
        <v>0.97960506760539345</v>
      </c>
      <c r="BV142" s="4">
        <f>AVERAGE(Granger_Inventory[[#This Row],[qual_adj]:[living_range_adj]])</f>
        <v>0.97808965027452077</v>
      </c>
      <c r="BW142" s="8">
        <f>(Granger_Inventory[[#This Row],[sum_land]]-IF(Granger_Inventory[[#This Row],[no_utilities]]=1,12000,0))/IF(Granger_Inventory[[#This Row],[unbuildable]]=1,2,1)</f>
        <v>17680.230269359956</v>
      </c>
      <c r="BX142" s="8">
        <f>Granger_Inventory[[#This Row],[pre_res]]*Granger_Inventory[[#This Row],[overall_adj]]</f>
        <v>218356.30276746958</v>
      </c>
      <c r="BY14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2">
        <f>ROUND(Granger_Inventory[[#This Row],[detatched_value]]*Lookups!$I$45,-2)</f>
        <v>0</v>
      </c>
      <c r="CA142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42">
        <f>Granger_Inventory[[#This Row],[final_det]]+Granger_Inventory[[#This Row],[final_res]]</f>
        <v>207400</v>
      </c>
      <c r="CC142">
        <f>Granger_Inventory[[#This Row],[final_land]]+Granger_Inventory[[#This Row],[final_imp]]+Granger_Inventory[[#This Row],[crop_value]]</f>
        <v>224200</v>
      </c>
      <c r="CE142" t="str">
        <f t="shared" si="2"/>
        <v>update valuation set market_land =16800, market_bldg=207400, market_total =224200, market_mdno =402, market_date ='9/10/2023' where link_id = (select link_id from parcel where parcel_year = '2024' and parcel_id = '21101641533');</v>
      </c>
    </row>
    <row r="143" spans="1:83" x14ac:dyDescent="0.25">
      <c r="A143">
        <v>21101641534</v>
      </c>
      <c r="B143">
        <v>0.14000000000000001</v>
      </c>
      <c r="C143">
        <v>6106</v>
      </c>
      <c r="D143" t="s">
        <v>137</v>
      </c>
      <c r="E143" t="s">
        <v>54</v>
      </c>
      <c r="F143" t="s">
        <v>54</v>
      </c>
      <c r="G143">
        <v>3</v>
      </c>
      <c r="H143" t="s">
        <v>55</v>
      </c>
      <c r="I143">
        <v>207500</v>
      </c>
      <c r="J143">
        <v>25900</v>
      </c>
      <c r="K143">
        <v>0.14000000000000001</v>
      </c>
      <c r="L14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3">
        <v>0</v>
      </c>
      <c r="N143">
        <v>0</v>
      </c>
      <c r="O143">
        <v>0</v>
      </c>
      <c r="P143">
        <v>47108.068500000001</v>
      </c>
      <c r="Q143">
        <v>122298</v>
      </c>
      <c r="R143">
        <f>(Granger_Inventory[[#This Row],[ln_acres]]*Granger_Inventory[[#This Row],[coeff]])+Granger_Inventory[[#This Row],[const]]</f>
        <v>29678.220883257934</v>
      </c>
      <c r="S143" t="s">
        <v>69</v>
      </c>
      <c r="T143">
        <v>1</v>
      </c>
      <c r="U143" t="s">
        <v>71</v>
      </c>
      <c r="V143" t="s">
        <v>70</v>
      </c>
      <c r="W143">
        <v>0</v>
      </c>
      <c r="X143">
        <v>0</v>
      </c>
      <c r="Y143">
        <v>10</v>
      </c>
      <c r="Z143">
        <v>10</v>
      </c>
      <c r="AA143">
        <v>10</v>
      </c>
      <c r="AB143">
        <v>1500</v>
      </c>
      <c r="AC143">
        <v>1200</v>
      </c>
      <c r="AD143">
        <v>1200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5</v>
      </c>
      <c r="AQ143">
        <v>0</v>
      </c>
      <c r="AR143">
        <v>0</v>
      </c>
      <c r="AS143" t="s">
        <v>59</v>
      </c>
      <c r="AT143">
        <v>1</v>
      </c>
      <c r="AU143" t="s">
        <v>68</v>
      </c>
      <c r="AV143" t="s">
        <v>65</v>
      </c>
      <c r="AW143">
        <v>0</v>
      </c>
      <c r="AX143">
        <v>3</v>
      </c>
      <c r="AY143">
        <v>0</v>
      </c>
      <c r="AZ143">
        <v>0</v>
      </c>
      <c r="BA143">
        <v>100</v>
      </c>
      <c r="BB143">
        <v>100</v>
      </c>
      <c r="BC143">
        <v>100</v>
      </c>
      <c r="BD143">
        <v>100</v>
      </c>
      <c r="BE143">
        <v>1</v>
      </c>
      <c r="BF143">
        <v>15000</v>
      </c>
      <c r="BG143">
        <v>1000</v>
      </c>
      <c r="BH143" s="8">
        <f>Granger_Inventory[[#This Row],[land_extract]]*Lookups!$B$3</f>
        <v>17680.230269359956</v>
      </c>
      <c r="BI143" s="8">
        <f>IF(Granger_Inventory[[#This Row],[bldg_style]]="",0,Lookups!$B$2)</f>
        <v>29703.559000000001</v>
      </c>
      <c r="BJ143" s="8">
        <f>_xlfn.IFNA(VLOOKUP(Granger_Inventory[[#This Row],[quality]],Lookups!$H$2:$J$14,3,FALSE),0)</f>
        <v>34195</v>
      </c>
      <c r="BK143" s="8">
        <f>_xlfn.IFNA(VLOOKUP(Granger_Inventory[[#This Row],[condition]],Lookups!$H$17:$J$24,3,FALSE),0)</f>
        <v>80695</v>
      </c>
      <c r="BL143" s="8">
        <f>Granger_Inventory[[#This Row],[Age]]*Lookups!$B$16</f>
        <v>-2073.3109999999997</v>
      </c>
      <c r="BM143" s="8">
        <f>Granger_Inventory[[#This Row],[living_area]]*Lookups!$B$17</f>
        <v>80727.4908</v>
      </c>
      <c r="BN143" s="8">
        <f>(Granger_Inventory[[#This Row],[att_gar]]+Granger_Inventory[[#This Row],[blt_gar]])*Lookups!$B$18</f>
        <v>0</v>
      </c>
      <c r="BO143" s="8">
        <f>Granger_Inventory[[#This Row],[Patio]]*Lookups!$B$19</f>
        <v>0</v>
      </c>
      <c r="BP143" s="8">
        <f>SUM(Granger_Inventory[[#This Row],[Intercept]:[Patio_Value]])*Granger_Inventory[[#This Row],[res_pct]]</f>
        <v>223247.73880000002</v>
      </c>
      <c r="BQ143" s="8">
        <f>Granger_Inventory[[#This Row],[land_value]]</f>
        <v>17680.230269359956</v>
      </c>
      <c r="BR143" s="4">
        <f>_xlfn.IFNA(VLOOKUP(Granger_Inventory[[#This Row],[quality]],Lookups!$A$25:$C$35,3,FALSE),1)</f>
        <v>0.98258795897788032</v>
      </c>
      <c r="BS143" s="4">
        <f>_xlfn.IFNA(VLOOKUP(Granger_Inventory[[#This Row],[condition]],Lookups!$A$38:$C$45,3,FALSE),1)</f>
        <v>0.99484195314749324</v>
      </c>
      <c r="BT143" s="4">
        <f>IF(Granger_Inventory[[#This Row],[decade]]="",1,_xlfn.IFNA(VLOOKUP(Granger_Inventory[[#This Row],[decade]],Lookups!$G$28:$I$42,3,FALSE),1))</f>
        <v>0.95532362136731586</v>
      </c>
      <c r="BU143" s="4">
        <f>_xlfn.IFNA(VLOOKUP(Granger_Inventory[[#This Row],[living_area_range]],Lookups!$A$48:$C$57,3,FALSE),1)</f>
        <v>0.97960506760539345</v>
      </c>
      <c r="BV143" s="4">
        <f>AVERAGE(Granger_Inventory[[#This Row],[qual_adj]:[living_range_adj]])</f>
        <v>0.97808965027452077</v>
      </c>
      <c r="BW143" s="8">
        <f>(Granger_Inventory[[#This Row],[sum_land]]-IF(Granger_Inventory[[#This Row],[no_utilities]]=1,12000,0))/IF(Granger_Inventory[[#This Row],[unbuildable]]=1,2,1)</f>
        <v>17680.230269359956</v>
      </c>
      <c r="BX143" s="8">
        <f>Granger_Inventory[[#This Row],[pre_res]]*Granger_Inventory[[#This Row],[overall_adj]]</f>
        <v>218356.30276746958</v>
      </c>
      <c r="BY14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3">
        <f>ROUND(Granger_Inventory[[#This Row],[detatched_value]]*Lookups!$I$45,-2)</f>
        <v>0</v>
      </c>
      <c r="CA143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43">
        <f>Granger_Inventory[[#This Row],[final_det]]+Granger_Inventory[[#This Row],[final_res]]</f>
        <v>207400</v>
      </c>
      <c r="CC143">
        <f>Granger_Inventory[[#This Row],[final_land]]+Granger_Inventory[[#This Row],[final_imp]]+Granger_Inventory[[#This Row],[crop_value]]</f>
        <v>224200</v>
      </c>
      <c r="CE143" t="str">
        <f t="shared" si="2"/>
        <v>update valuation set market_land =16800, market_bldg=207400, market_total =224200, market_mdno =402, market_date ='9/10/2023' where link_id = (select link_id from parcel where parcel_year = '2024' and parcel_id = '21101641534');</v>
      </c>
    </row>
    <row r="144" spans="1:83" x14ac:dyDescent="0.25">
      <c r="A144">
        <v>21101641535</v>
      </c>
      <c r="B144">
        <v>0.14000000000000001</v>
      </c>
      <c r="C144">
        <v>6106</v>
      </c>
      <c r="D144" t="s">
        <v>137</v>
      </c>
      <c r="E144" t="s">
        <v>54</v>
      </c>
      <c r="F144" t="s">
        <v>54</v>
      </c>
      <c r="G144">
        <v>3</v>
      </c>
      <c r="H144" t="s">
        <v>55</v>
      </c>
      <c r="I144">
        <v>207500</v>
      </c>
      <c r="J144">
        <v>25900</v>
      </c>
      <c r="K144">
        <v>0.14000000000000001</v>
      </c>
      <c r="L14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4">
        <v>0</v>
      </c>
      <c r="N144">
        <v>0</v>
      </c>
      <c r="O144">
        <v>0</v>
      </c>
      <c r="P144">
        <v>47108.068500000001</v>
      </c>
      <c r="Q144">
        <v>122298</v>
      </c>
      <c r="R144">
        <f>(Granger_Inventory[[#This Row],[ln_acres]]*Granger_Inventory[[#This Row],[coeff]])+Granger_Inventory[[#This Row],[const]]</f>
        <v>29678.220883257934</v>
      </c>
      <c r="S144" t="s">
        <v>69</v>
      </c>
      <c r="T144">
        <v>1</v>
      </c>
      <c r="U144" t="s">
        <v>71</v>
      </c>
      <c r="V144" t="s">
        <v>70</v>
      </c>
      <c r="W144">
        <v>0</v>
      </c>
      <c r="X144">
        <v>0</v>
      </c>
      <c r="Y144">
        <v>10</v>
      </c>
      <c r="Z144">
        <v>10</v>
      </c>
      <c r="AA144">
        <v>10</v>
      </c>
      <c r="AB144">
        <v>1500</v>
      </c>
      <c r="AC144">
        <v>1200</v>
      </c>
      <c r="AD144">
        <v>1200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5</v>
      </c>
      <c r="AQ144">
        <v>0</v>
      </c>
      <c r="AR144">
        <v>0</v>
      </c>
      <c r="AS144" t="s">
        <v>59</v>
      </c>
      <c r="AT144">
        <v>1</v>
      </c>
      <c r="AU144" t="s">
        <v>68</v>
      </c>
      <c r="AV144" t="s">
        <v>65</v>
      </c>
      <c r="AW144">
        <v>0</v>
      </c>
      <c r="AX144">
        <v>3</v>
      </c>
      <c r="AY144">
        <v>0</v>
      </c>
      <c r="AZ144">
        <v>0</v>
      </c>
      <c r="BA144">
        <v>100</v>
      </c>
      <c r="BB144">
        <v>100</v>
      </c>
      <c r="BC144">
        <v>100</v>
      </c>
      <c r="BD144">
        <v>100</v>
      </c>
      <c r="BE144">
        <v>1</v>
      </c>
      <c r="BF144">
        <v>15000</v>
      </c>
      <c r="BG144">
        <v>1000</v>
      </c>
      <c r="BH144" s="8">
        <f>Granger_Inventory[[#This Row],[land_extract]]*Lookups!$B$3</f>
        <v>17680.230269359956</v>
      </c>
      <c r="BI144" s="8">
        <f>IF(Granger_Inventory[[#This Row],[bldg_style]]="",0,Lookups!$B$2)</f>
        <v>29703.559000000001</v>
      </c>
      <c r="BJ144" s="8">
        <f>_xlfn.IFNA(VLOOKUP(Granger_Inventory[[#This Row],[quality]],Lookups!$H$2:$J$14,3,FALSE),0)</f>
        <v>34195</v>
      </c>
      <c r="BK144" s="8">
        <f>_xlfn.IFNA(VLOOKUP(Granger_Inventory[[#This Row],[condition]],Lookups!$H$17:$J$24,3,FALSE),0)</f>
        <v>80695</v>
      </c>
      <c r="BL144" s="8">
        <f>Granger_Inventory[[#This Row],[Age]]*Lookups!$B$16</f>
        <v>-2073.3109999999997</v>
      </c>
      <c r="BM144" s="8">
        <f>Granger_Inventory[[#This Row],[living_area]]*Lookups!$B$17</f>
        <v>80727.4908</v>
      </c>
      <c r="BN144" s="8">
        <f>(Granger_Inventory[[#This Row],[att_gar]]+Granger_Inventory[[#This Row],[blt_gar]])*Lookups!$B$18</f>
        <v>0</v>
      </c>
      <c r="BO144" s="8">
        <f>Granger_Inventory[[#This Row],[Patio]]*Lookups!$B$19</f>
        <v>0</v>
      </c>
      <c r="BP144" s="8">
        <f>SUM(Granger_Inventory[[#This Row],[Intercept]:[Patio_Value]])*Granger_Inventory[[#This Row],[res_pct]]</f>
        <v>223247.73880000002</v>
      </c>
      <c r="BQ144" s="8">
        <f>Granger_Inventory[[#This Row],[land_value]]</f>
        <v>17680.230269359956</v>
      </c>
      <c r="BR144" s="4">
        <f>_xlfn.IFNA(VLOOKUP(Granger_Inventory[[#This Row],[quality]],Lookups!$A$25:$C$35,3,FALSE),1)</f>
        <v>0.98258795897788032</v>
      </c>
      <c r="BS144" s="4">
        <f>_xlfn.IFNA(VLOOKUP(Granger_Inventory[[#This Row],[condition]],Lookups!$A$38:$C$45,3,FALSE),1)</f>
        <v>0.99484195314749324</v>
      </c>
      <c r="BT144" s="4">
        <f>IF(Granger_Inventory[[#This Row],[decade]]="",1,_xlfn.IFNA(VLOOKUP(Granger_Inventory[[#This Row],[decade]],Lookups!$G$28:$I$42,3,FALSE),1))</f>
        <v>0.95532362136731586</v>
      </c>
      <c r="BU144" s="4">
        <f>_xlfn.IFNA(VLOOKUP(Granger_Inventory[[#This Row],[living_area_range]],Lookups!$A$48:$C$57,3,FALSE),1)</f>
        <v>0.97960506760539345</v>
      </c>
      <c r="BV144" s="4">
        <f>AVERAGE(Granger_Inventory[[#This Row],[qual_adj]:[living_range_adj]])</f>
        <v>0.97808965027452077</v>
      </c>
      <c r="BW144" s="8">
        <f>(Granger_Inventory[[#This Row],[sum_land]]-IF(Granger_Inventory[[#This Row],[no_utilities]]=1,12000,0))/IF(Granger_Inventory[[#This Row],[unbuildable]]=1,2,1)</f>
        <v>17680.230269359956</v>
      </c>
      <c r="BX144" s="8">
        <f>Granger_Inventory[[#This Row],[pre_res]]*Granger_Inventory[[#This Row],[overall_adj]]</f>
        <v>218356.30276746958</v>
      </c>
      <c r="BY14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4">
        <f>ROUND(Granger_Inventory[[#This Row],[detatched_value]]*Lookups!$I$45,-2)</f>
        <v>0</v>
      </c>
      <c r="CA144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44">
        <f>Granger_Inventory[[#This Row],[final_det]]+Granger_Inventory[[#This Row],[final_res]]</f>
        <v>207400</v>
      </c>
      <c r="CC144">
        <f>Granger_Inventory[[#This Row],[final_land]]+Granger_Inventory[[#This Row],[final_imp]]+Granger_Inventory[[#This Row],[crop_value]]</f>
        <v>224200</v>
      </c>
      <c r="CE144" t="str">
        <f t="shared" si="2"/>
        <v>update valuation set market_land =16800, market_bldg=207400, market_total =224200, market_mdno =402, market_date ='9/10/2023' where link_id = (select link_id from parcel where parcel_year = '2024' and parcel_id = '21101641535');</v>
      </c>
    </row>
    <row r="145" spans="1:83" x14ac:dyDescent="0.25">
      <c r="A145">
        <v>21101641536</v>
      </c>
      <c r="B145">
        <v>0.14000000000000001</v>
      </c>
      <c r="C145">
        <v>6107</v>
      </c>
      <c r="D145" t="s">
        <v>137</v>
      </c>
      <c r="E145" t="s">
        <v>54</v>
      </c>
      <c r="F145" t="s">
        <v>54</v>
      </c>
      <c r="G145">
        <v>3</v>
      </c>
      <c r="H145" t="s">
        <v>55</v>
      </c>
      <c r="I145">
        <v>206500</v>
      </c>
      <c r="J145">
        <v>25900</v>
      </c>
      <c r="K145">
        <v>0.14000000000000001</v>
      </c>
      <c r="L14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5">
        <v>0</v>
      </c>
      <c r="N145">
        <v>0</v>
      </c>
      <c r="O145">
        <v>0</v>
      </c>
      <c r="P145">
        <v>47108.068500000001</v>
      </c>
      <c r="Q145">
        <v>122298</v>
      </c>
      <c r="R145">
        <f>(Granger_Inventory[[#This Row],[ln_acres]]*Granger_Inventory[[#This Row],[coeff]])+Granger_Inventory[[#This Row],[const]]</f>
        <v>29678.220883257934</v>
      </c>
      <c r="S145" t="s">
        <v>69</v>
      </c>
      <c r="T145">
        <v>1</v>
      </c>
      <c r="U145" t="s">
        <v>71</v>
      </c>
      <c r="V145" t="s">
        <v>70</v>
      </c>
      <c r="W145">
        <v>0</v>
      </c>
      <c r="X145">
        <v>0</v>
      </c>
      <c r="Y145">
        <v>12</v>
      </c>
      <c r="Z145">
        <v>12</v>
      </c>
      <c r="AA145">
        <v>20</v>
      </c>
      <c r="AB145">
        <v>1500</v>
      </c>
      <c r="AC145">
        <v>1200</v>
      </c>
      <c r="AD145">
        <v>1200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5</v>
      </c>
      <c r="AQ145">
        <v>0</v>
      </c>
      <c r="AR145">
        <v>0</v>
      </c>
      <c r="AS145" t="s">
        <v>59</v>
      </c>
      <c r="AT145">
        <v>1</v>
      </c>
      <c r="AU145" t="s">
        <v>68</v>
      </c>
      <c r="AV145" t="s">
        <v>65</v>
      </c>
      <c r="AW145">
        <v>0</v>
      </c>
      <c r="AX145">
        <v>3</v>
      </c>
      <c r="AY145">
        <v>0</v>
      </c>
      <c r="AZ145">
        <v>0</v>
      </c>
      <c r="BA145">
        <v>100</v>
      </c>
      <c r="BB145">
        <v>100</v>
      </c>
      <c r="BC145">
        <v>100</v>
      </c>
      <c r="BD145">
        <v>100</v>
      </c>
      <c r="BE145">
        <v>1</v>
      </c>
      <c r="BF145">
        <v>15000</v>
      </c>
      <c r="BG145">
        <v>1000</v>
      </c>
      <c r="BH145" s="8">
        <f>Granger_Inventory[[#This Row],[land_extract]]*Lookups!$B$3</f>
        <v>17680.230269359956</v>
      </c>
      <c r="BI145" s="8">
        <f>IF(Granger_Inventory[[#This Row],[bldg_style]]="",0,Lookups!$B$2)</f>
        <v>29703.559000000001</v>
      </c>
      <c r="BJ145" s="8">
        <f>_xlfn.IFNA(VLOOKUP(Granger_Inventory[[#This Row],[quality]],Lookups!$H$2:$J$14,3,FALSE),0)</f>
        <v>34195</v>
      </c>
      <c r="BK145" s="8">
        <f>_xlfn.IFNA(VLOOKUP(Granger_Inventory[[#This Row],[condition]],Lookups!$H$17:$J$24,3,FALSE),0)</f>
        <v>80695</v>
      </c>
      <c r="BL145" s="8">
        <f>Granger_Inventory[[#This Row],[Age]]*Lookups!$B$16</f>
        <v>-2487.9731999999999</v>
      </c>
      <c r="BM145" s="8">
        <f>Granger_Inventory[[#This Row],[living_area]]*Lookups!$B$17</f>
        <v>80727.4908</v>
      </c>
      <c r="BN145" s="8">
        <f>(Granger_Inventory[[#This Row],[att_gar]]+Granger_Inventory[[#This Row],[blt_gar]])*Lookups!$B$18</f>
        <v>0</v>
      </c>
      <c r="BO145" s="8">
        <f>Granger_Inventory[[#This Row],[Patio]]*Lookups!$B$19</f>
        <v>0</v>
      </c>
      <c r="BP145" s="8">
        <f>SUM(Granger_Inventory[[#This Row],[Intercept]:[Patio_Value]])*Granger_Inventory[[#This Row],[res_pct]]</f>
        <v>222833.0766</v>
      </c>
      <c r="BQ145" s="8">
        <f>Granger_Inventory[[#This Row],[land_value]]</f>
        <v>17680.230269359956</v>
      </c>
      <c r="BR145" s="4">
        <f>_xlfn.IFNA(VLOOKUP(Granger_Inventory[[#This Row],[quality]],Lookups!$A$25:$C$35,3,FALSE),1)</f>
        <v>0.98258795897788032</v>
      </c>
      <c r="BS145" s="4">
        <f>_xlfn.IFNA(VLOOKUP(Granger_Inventory[[#This Row],[condition]],Lookups!$A$38:$C$45,3,FALSE),1)</f>
        <v>0.99484195314749324</v>
      </c>
      <c r="BT145" s="4">
        <f>IF(Granger_Inventory[[#This Row],[decade]]="",1,_xlfn.IFNA(VLOOKUP(Granger_Inventory[[#This Row],[decade]],Lookups!$G$28:$I$42,3,FALSE),1))</f>
        <v>1.0159161060824455</v>
      </c>
      <c r="BU145" s="4">
        <f>_xlfn.IFNA(VLOOKUP(Granger_Inventory[[#This Row],[living_area_range]],Lookups!$A$48:$C$57,3,FALSE),1)</f>
        <v>0.97960506760539345</v>
      </c>
      <c r="BV145" s="4">
        <f>AVERAGE(Granger_Inventory[[#This Row],[qual_adj]:[living_range_adj]])</f>
        <v>0.99323777145330316</v>
      </c>
      <c r="BW145" s="8">
        <f>(Granger_Inventory[[#This Row],[sum_land]]-IF(Granger_Inventory[[#This Row],[no_utilities]]=1,12000,0))/IF(Granger_Inventory[[#This Row],[unbuildable]]=1,2,1)</f>
        <v>17680.230269359956</v>
      </c>
      <c r="BX145" s="8">
        <f>Granger_Inventory[[#This Row],[pre_res]]*Granger_Inventory[[#This Row],[overall_adj]]</f>
        <v>221326.2284082672</v>
      </c>
      <c r="BY14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5">
        <f>ROUND(Granger_Inventory[[#This Row],[detatched_value]]*Lookups!$I$45,-2)</f>
        <v>0</v>
      </c>
      <c r="CA145">
        <f>IF(ROUND(Granger_Inventory[[#This Row],[adj_res]]*Lookups!$I$45,-2)&lt;Granger_Inventory[[#This Row],[min_res]],Granger_Inventory[[#This Row],[min_res]],ROUND(Granger_Inventory[[#This Row],[adj_res]]*Lookups!$I$45,-2))</f>
        <v>210300</v>
      </c>
      <c r="CB145">
        <f>Granger_Inventory[[#This Row],[final_det]]+Granger_Inventory[[#This Row],[final_res]]</f>
        <v>210300</v>
      </c>
      <c r="CC145">
        <f>Granger_Inventory[[#This Row],[final_land]]+Granger_Inventory[[#This Row],[final_imp]]+Granger_Inventory[[#This Row],[crop_value]]</f>
        <v>227100</v>
      </c>
      <c r="CE145" t="str">
        <f t="shared" si="2"/>
        <v>update valuation set market_land =16800, market_bldg=210300, market_total =227100, market_mdno =402, market_date ='9/10/2023' where link_id = (select link_id from parcel where parcel_year = '2024' and parcel_id = '21101641536');</v>
      </c>
    </row>
    <row r="146" spans="1:83" x14ac:dyDescent="0.25">
      <c r="A146">
        <v>21101641537</v>
      </c>
      <c r="B146">
        <v>0.14000000000000001</v>
      </c>
      <c r="C146">
        <v>6107</v>
      </c>
      <c r="D146" t="s">
        <v>137</v>
      </c>
      <c r="E146" t="s">
        <v>54</v>
      </c>
      <c r="F146" t="s">
        <v>54</v>
      </c>
      <c r="G146">
        <v>3</v>
      </c>
      <c r="H146" t="s">
        <v>55</v>
      </c>
      <c r="I146">
        <v>212200</v>
      </c>
      <c r="J146">
        <v>25900</v>
      </c>
      <c r="K146">
        <v>0.14000000000000001</v>
      </c>
      <c r="L14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6">
        <v>0</v>
      </c>
      <c r="N146">
        <v>0</v>
      </c>
      <c r="O146">
        <v>0</v>
      </c>
      <c r="P146">
        <v>47108.068500000001</v>
      </c>
      <c r="Q146">
        <v>122298</v>
      </c>
      <c r="R146">
        <f>(Granger_Inventory[[#This Row],[ln_acres]]*Granger_Inventory[[#This Row],[coeff]])+Granger_Inventory[[#This Row],[const]]</f>
        <v>29678.220883257934</v>
      </c>
      <c r="S146" t="s">
        <v>69</v>
      </c>
      <c r="T146">
        <v>1</v>
      </c>
      <c r="U146" t="s">
        <v>71</v>
      </c>
      <c r="V146" t="s">
        <v>70</v>
      </c>
      <c r="W146">
        <v>0</v>
      </c>
      <c r="X146">
        <v>0</v>
      </c>
      <c r="Y146">
        <v>15</v>
      </c>
      <c r="Z146">
        <v>15</v>
      </c>
      <c r="AA146">
        <v>20</v>
      </c>
      <c r="AB146">
        <v>1500</v>
      </c>
      <c r="AC146">
        <v>1200</v>
      </c>
      <c r="AD146">
        <v>1200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8</v>
      </c>
      <c r="AQ146">
        <v>0</v>
      </c>
      <c r="AR146">
        <v>0</v>
      </c>
      <c r="AS146" t="s">
        <v>139</v>
      </c>
      <c r="AT146">
        <v>1</v>
      </c>
      <c r="AU146" t="s">
        <v>63</v>
      </c>
      <c r="AV146" t="s">
        <v>65</v>
      </c>
      <c r="AW146">
        <v>1</v>
      </c>
      <c r="AX146">
        <v>3</v>
      </c>
      <c r="AY146">
        <v>0</v>
      </c>
      <c r="AZ146">
        <v>0</v>
      </c>
      <c r="BA146">
        <v>100</v>
      </c>
      <c r="BB146">
        <v>100</v>
      </c>
      <c r="BC146">
        <v>100</v>
      </c>
      <c r="BD146">
        <v>100</v>
      </c>
      <c r="BE146">
        <v>1</v>
      </c>
      <c r="BF146">
        <v>15000</v>
      </c>
      <c r="BG146">
        <v>1000</v>
      </c>
      <c r="BH146" s="8">
        <f>Granger_Inventory[[#This Row],[land_extract]]*Lookups!$B$3</f>
        <v>17680.230269359956</v>
      </c>
      <c r="BI146" s="8">
        <f>IF(Granger_Inventory[[#This Row],[bldg_style]]="",0,Lookups!$B$2)</f>
        <v>29703.559000000001</v>
      </c>
      <c r="BJ146" s="8">
        <f>_xlfn.IFNA(VLOOKUP(Granger_Inventory[[#This Row],[quality]],Lookups!$H$2:$J$14,3,FALSE),0)</f>
        <v>34195</v>
      </c>
      <c r="BK146" s="8">
        <f>_xlfn.IFNA(VLOOKUP(Granger_Inventory[[#This Row],[condition]],Lookups!$H$17:$J$24,3,FALSE),0)</f>
        <v>80695</v>
      </c>
      <c r="BL146" s="8">
        <f>Granger_Inventory[[#This Row],[Age]]*Lookups!$B$16</f>
        <v>-3109.9665</v>
      </c>
      <c r="BM146" s="8">
        <f>Granger_Inventory[[#This Row],[living_area]]*Lookups!$B$17</f>
        <v>80727.4908</v>
      </c>
      <c r="BN146" s="8">
        <f>(Granger_Inventory[[#This Row],[att_gar]]+Granger_Inventory[[#This Row],[blt_gar]])*Lookups!$B$18</f>
        <v>0</v>
      </c>
      <c r="BO146" s="8">
        <f>Granger_Inventory[[#This Row],[Patio]]*Lookups!$B$19</f>
        <v>0</v>
      </c>
      <c r="BP146" s="8">
        <f>SUM(Granger_Inventory[[#This Row],[Intercept]:[Patio_Value]])*Granger_Inventory[[#This Row],[res_pct]]</f>
        <v>222211.0833</v>
      </c>
      <c r="BQ146" s="8">
        <f>Granger_Inventory[[#This Row],[land_value]]</f>
        <v>17680.230269359956</v>
      </c>
      <c r="BR146" s="4">
        <f>_xlfn.IFNA(VLOOKUP(Granger_Inventory[[#This Row],[quality]],Lookups!$A$25:$C$35,3,FALSE),1)</f>
        <v>0.98258795897788032</v>
      </c>
      <c r="BS146" s="4">
        <f>_xlfn.IFNA(VLOOKUP(Granger_Inventory[[#This Row],[condition]],Lookups!$A$38:$C$45,3,FALSE),1)</f>
        <v>0.99484195314749324</v>
      </c>
      <c r="BT146" s="4">
        <f>IF(Granger_Inventory[[#This Row],[decade]]="",1,_xlfn.IFNA(VLOOKUP(Granger_Inventory[[#This Row],[decade]],Lookups!$G$28:$I$42,3,FALSE),1))</f>
        <v>1.0159161060824455</v>
      </c>
      <c r="BU146" s="4">
        <f>_xlfn.IFNA(VLOOKUP(Granger_Inventory[[#This Row],[living_area_range]],Lookups!$A$48:$C$57,3,FALSE),1)</f>
        <v>0.97960506760539345</v>
      </c>
      <c r="BV146" s="4">
        <f>AVERAGE(Granger_Inventory[[#This Row],[qual_adj]:[living_range_adj]])</f>
        <v>0.99323777145330316</v>
      </c>
      <c r="BW146" s="8">
        <f>(Granger_Inventory[[#This Row],[sum_land]]-IF(Granger_Inventory[[#This Row],[no_utilities]]=1,12000,0))/IF(Granger_Inventory[[#This Row],[unbuildable]]=1,2,1)</f>
        <v>17680.230269359956</v>
      </c>
      <c r="BX146" s="8">
        <f>Granger_Inventory[[#This Row],[pre_res]]*Granger_Inventory[[#This Row],[overall_adj]]</f>
        <v>220708.4411691163</v>
      </c>
      <c r="BY14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6">
        <f>ROUND(Granger_Inventory[[#This Row],[detatched_value]]*Lookups!$I$45,-2)</f>
        <v>0</v>
      </c>
      <c r="CA146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46">
        <f>Granger_Inventory[[#This Row],[final_det]]+Granger_Inventory[[#This Row],[final_res]]</f>
        <v>209700</v>
      </c>
      <c r="CC146">
        <f>Granger_Inventory[[#This Row],[final_land]]+Granger_Inventory[[#This Row],[final_imp]]+Granger_Inventory[[#This Row],[crop_value]]</f>
        <v>226500</v>
      </c>
      <c r="CE146" t="str">
        <f t="shared" si="2"/>
        <v>update valuation set market_land =16800, market_bldg=209700, market_total =226500, market_mdno =402, market_date ='9/10/2023' where link_id = (select link_id from parcel where parcel_year = '2024' and parcel_id = '21101641537');</v>
      </c>
    </row>
    <row r="147" spans="1:83" x14ac:dyDescent="0.25">
      <c r="A147">
        <v>21101641538</v>
      </c>
      <c r="B147">
        <v>0.14000000000000001</v>
      </c>
      <c r="C147">
        <v>6107</v>
      </c>
      <c r="D147" t="s">
        <v>137</v>
      </c>
      <c r="E147" t="s">
        <v>54</v>
      </c>
      <c r="F147" t="s">
        <v>54</v>
      </c>
      <c r="G147">
        <v>3</v>
      </c>
      <c r="H147" t="s">
        <v>55</v>
      </c>
      <c r="I147">
        <v>212200</v>
      </c>
      <c r="J147">
        <v>25900</v>
      </c>
      <c r="K147">
        <v>0.14000000000000001</v>
      </c>
      <c r="L14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7">
        <v>0</v>
      </c>
      <c r="N147">
        <v>0</v>
      </c>
      <c r="O147">
        <v>0</v>
      </c>
      <c r="P147">
        <v>47108.068500000001</v>
      </c>
      <c r="Q147">
        <v>122298</v>
      </c>
      <c r="R147">
        <f>(Granger_Inventory[[#This Row],[ln_acres]]*Granger_Inventory[[#This Row],[coeff]])+Granger_Inventory[[#This Row],[const]]</f>
        <v>29678.220883257934</v>
      </c>
      <c r="S147" t="s">
        <v>69</v>
      </c>
      <c r="T147">
        <v>1</v>
      </c>
      <c r="U147" t="s">
        <v>71</v>
      </c>
      <c r="V147" t="s">
        <v>70</v>
      </c>
      <c r="W147">
        <v>0</v>
      </c>
      <c r="X147">
        <v>0</v>
      </c>
      <c r="Y147">
        <v>15</v>
      </c>
      <c r="Z147">
        <v>15</v>
      </c>
      <c r="AA147">
        <v>20</v>
      </c>
      <c r="AB147">
        <v>1500</v>
      </c>
      <c r="AC147">
        <v>1200</v>
      </c>
      <c r="AD147">
        <v>1200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24</v>
      </c>
      <c r="AM147">
        <v>0</v>
      </c>
      <c r="AN147">
        <v>0</v>
      </c>
      <c r="AO147">
        <v>0</v>
      </c>
      <c r="AP147">
        <v>8</v>
      </c>
      <c r="AQ147">
        <v>0</v>
      </c>
      <c r="AR147">
        <v>0</v>
      </c>
      <c r="AS147" t="s">
        <v>139</v>
      </c>
      <c r="AT147">
        <v>1</v>
      </c>
      <c r="AU147" t="s">
        <v>63</v>
      </c>
      <c r="AV147" t="s">
        <v>65</v>
      </c>
      <c r="AW147">
        <v>1</v>
      </c>
      <c r="AX147">
        <v>3</v>
      </c>
      <c r="AY147">
        <v>0</v>
      </c>
      <c r="AZ147">
        <v>0</v>
      </c>
      <c r="BA147">
        <v>100</v>
      </c>
      <c r="BB147">
        <v>100</v>
      </c>
      <c r="BC147">
        <v>100</v>
      </c>
      <c r="BD147">
        <v>100</v>
      </c>
      <c r="BE147">
        <v>1</v>
      </c>
      <c r="BF147">
        <v>15000</v>
      </c>
      <c r="BG147">
        <v>1000</v>
      </c>
      <c r="BH147" s="8">
        <f>Granger_Inventory[[#This Row],[land_extract]]*Lookups!$B$3</f>
        <v>17680.230269359956</v>
      </c>
      <c r="BI147" s="8">
        <f>IF(Granger_Inventory[[#This Row],[bldg_style]]="",0,Lookups!$B$2)</f>
        <v>29703.559000000001</v>
      </c>
      <c r="BJ147" s="8">
        <f>_xlfn.IFNA(VLOOKUP(Granger_Inventory[[#This Row],[quality]],Lookups!$H$2:$J$14,3,FALSE),0)</f>
        <v>34195</v>
      </c>
      <c r="BK147" s="8">
        <f>_xlfn.IFNA(VLOOKUP(Granger_Inventory[[#This Row],[condition]],Lookups!$H$17:$J$24,3,FALSE),0)</f>
        <v>80695</v>
      </c>
      <c r="BL147" s="8">
        <f>Granger_Inventory[[#This Row],[Age]]*Lookups!$B$16</f>
        <v>-3109.9665</v>
      </c>
      <c r="BM147" s="8">
        <f>Granger_Inventory[[#This Row],[living_area]]*Lookups!$B$17</f>
        <v>80727.4908</v>
      </c>
      <c r="BN147" s="8">
        <f>(Granger_Inventory[[#This Row],[att_gar]]+Granger_Inventory[[#This Row],[blt_gar]])*Lookups!$B$18</f>
        <v>0</v>
      </c>
      <c r="BO147" s="8">
        <f>Granger_Inventory[[#This Row],[Patio]]*Lookups!$B$19</f>
        <v>0</v>
      </c>
      <c r="BP147" s="8">
        <f>SUM(Granger_Inventory[[#This Row],[Intercept]:[Patio_Value]])*Granger_Inventory[[#This Row],[res_pct]]</f>
        <v>222211.0833</v>
      </c>
      <c r="BQ147" s="8">
        <f>Granger_Inventory[[#This Row],[land_value]]</f>
        <v>17680.230269359956</v>
      </c>
      <c r="BR147" s="4">
        <f>_xlfn.IFNA(VLOOKUP(Granger_Inventory[[#This Row],[quality]],Lookups!$A$25:$C$35,3,FALSE),1)</f>
        <v>0.98258795897788032</v>
      </c>
      <c r="BS147" s="4">
        <f>_xlfn.IFNA(VLOOKUP(Granger_Inventory[[#This Row],[condition]],Lookups!$A$38:$C$45,3,FALSE),1)</f>
        <v>0.99484195314749324</v>
      </c>
      <c r="BT147" s="4">
        <f>IF(Granger_Inventory[[#This Row],[decade]]="",1,_xlfn.IFNA(VLOOKUP(Granger_Inventory[[#This Row],[decade]],Lookups!$G$28:$I$42,3,FALSE),1))</f>
        <v>1.0159161060824455</v>
      </c>
      <c r="BU147" s="4">
        <f>_xlfn.IFNA(VLOOKUP(Granger_Inventory[[#This Row],[living_area_range]],Lookups!$A$48:$C$57,3,FALSE),1)</f>
        <v>0.97960506760539345</v>
      </c>
      <c r="BV147" s="4">
        <f>AVERAGE(Granger_Inventory[[#This Row],[qual_adj]:[living_range_adj]])</f>
        <v>0.99323777145330316</v>
      </c>
      <c r="BW147" s="8">
        <f>(Granger_Inventory[[#This Row],[sum_land]]-IF(Granger_Inventory[[#This Row],[no_utilities]]=1,12000,0))/IF(Granger_Inventory[[#This Row],[unbuildable]]=1,2,1)</f>
        <v>17680.230269359956</v>
      </c>
      <c r="BX147" s="8">
        <f>Granger_Inventory[[#This Row],[pre_res]]*Granger_Inventory[[#This Row],[overall_adj]]</f>
        <v>220708.4411691163</v>
      </c>
      <c r="BY14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7">
        <f>ROUND(Granger_Inventory[[#This Row],[detatched_value]]*Lookups!$I$45,-2)</f>
        <v>0</v>
      </c>
      <c r="CA147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47">
        <f>Granger_Inventory[[#This Row],[final_det]]+Granger_Inventory[[#This Row],[final_res]]</f>
        <v>209700</v>
      </c>
      <c r="CC147">
        <f>Granger_Inventory[[#This Row],[final_land]]+Granger_Inventory[[#This Row],[final_imp]]+Granger_Inventory[[#This Row],[crop_value]]</f>
        <v>226500</v>
      </c>
      <c r="CE147" t="str">
        <f t="shared" si="2"/>
        <v>update valuation set market_land =16800, market_bldg=209700, market_total =226500, market_mdno =402, market_date ='9/10/2023' where link_id = (select link_id from parcel where parcel_year = '2024' and parcel_id = '21101641538');</v>
      </c>
    </row>
    <row r="148" spans="1:83" x14ac:dyDescent="0.25">
      <c r="A148">
        <v>21101641539</v>
      </c>
      <c r="B148">
        <v>0.18</v>
      </c>
      <c r="C148">
        <v>7633</v>
      </c>
      <c r="D148" t="s">
        <v>137</v>
      </c>
      <c r="E148" t="s">
        <v>54</v>
      </c>
      <c r="F148" t="s">
        <v>54</v>
      </c>
      <c r="G148">
        <v>3</v>
      </c>
      <c r="H148" t="s">
        <v>55</v>
      </c>
      <c r="I148">
        <v>212200</v>
      </c>
      <c r="J148">
        <v>27400</v>
      </c>
      <c r="K148">
        <v>0.18</v>
      </c>
      <c r="L148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148">
        <v>0</v>
      </c>
      <c r="N148">
        <v>0</v>
      </c>
      <c r="O148">
        <v>0</v>
      </c>
      <c r="P148">
        <v>47108.068500000001</v>
      </c>
      <c r="Q148">
        <v>122298</v>
      </c>
      <c r="R148">
        <f>(Granger_Inventory[[#This Row],[ln_acres]]*Granger_Inventory[[#This Row],[coeff]])+Granger_Inventory[[#This Row],[const]]</f>
        <v>41517.1581857532</v>
      </c>
      <c r="S148" t="s">
        <v>69</v>
      </c>
      <c r="T148">
        <v>1</v>
      </c>
      <c r="U148" t="s">
        <v>71</v>
      </c>
      <c r="V148" t="s">
        <v>70</v>
      </c>
      <c r="W148">
        <v>0</v>
      </c>
      <c r="X148">
        <v>0</v>
      </c>
      <c r="Y148">
        <v>15</v>
      </c>
      <c r="Z148">
        <v>15</v>
      </c>
      <c r="AA148">
        <v>20</v>
      </c>
      <c r="AB148">
        <v>1500</v>
      </c>
      <c r="AC148">
        <v>1200</v>
      </c>
      <c r="AD148">
        <v>1200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8</v>
      </c>
      <c r="AQ148">
        <v>0</v>
      </c>
      <c r="AR148">
        <v>0</v>
      </c>
      <c r="AS148" t="s">
        <v>139</v>
      </c>
      <c r="AT148">
        <v>1</v>
      </c>
      <c r="AU148" t="s">
        <v>63</v>
      </c>
      <c r="AV148" t="s">
        <v>65</v>
      </c>
      <c r="AW148">
        <v>1</v>
      </c>
      <c r="AX148">
        <v>3</v>
      </c>
      <c r="AY148">
        <v>0</v>
      </c>
      <c r="AZ148">
        <v>0</v>
      </c>
      <c r="BA148">
        <v>100</v>
      </c>
      <c r="BB148">
        <v>100</v>
      </c>
      <c r="BC148">
        <v>100</v>
      </c>
      <c r="BD148">
        <v>100</v>
      </c>
      <c r="BE148">
        <v>1</v>
      </c>
      <c r="BF148">
        <v>15000</v>
      </c>
      <c r="BG148">
        <v>1000</v>
      </c>
      <c r="BH148" s="8">
        <f>Granger_Inventory[[#This Row],[land_extract]]*Lookups!$B$3</f>
        <v>24733.049859725303</v>
      </c>
      <c r="BI148" s="8">
        <f>IF(Granger_Inventory[[#This Row],[bldg_style]]="",0,Lookups!$B$2)</f>
        <v>29703.559000000001</v>
      </c>
      <c r="BJ148" s="8">
        <f>_xlfn.IFNA(VLOOKUP(Granger_Inventory[[#This Row],[quality]],Lookups!$H$2:$J$14,3,FALSE),0)</f>
        <v>34195</v>
      </c>
      <c r="BK148" s="8">
        <f>_xlfn.IFNA(VLOOKUP(Granger_Inventory[[#This Row],[condition]],Lookups!$H$17:$J$24,3,FALSE),0)</f>
        <v>80695</v>
      </c>
      <c r="BL148" s="8">
        <f>Granger_Inventory[[#This Row],[Age]]*Lookups!$B$16</f>
        <v>-3109.9665</v>
      </c>
      <c r="BM148" s="8">
        <f>Granger_Inventory[[#This Row],[living_area]]*Lookups!$B$17</f>
        <v>80727.4908</v>
      </c>
      <c r="BN148" s="8">
        <f>(Granger_Inventory[[#This Row],[att_gar]]+Granger_Inventory[[#This Row],[blt_gar]])*Lookups!$B$18</f>
        <v>0</v>
      </c>
      <c r="BO148" s="8">
        <f>Granger_Inventory[[#This Row],[Patio]]*Lookups!$B$19</f>
        <v>0</v>
      </c>
      <c r="BP148" s="8">
        <f>SUM(Granger_Inventory[[#This Row],[Intercept]:[Patio_Value]])*Granger_Inventory[[#This Row],[res_pct]]</f>
        <v>222211.0833</v>
      </c>
      <c r="BQ148" s="8">
        <f>Granger_Inventory[[#This Row],[land_value]]</f>
        <v>24733.049859725303</v>
      </c>
      <c r="BR148" s="4">
        <f>_xlfn.IFNA(VLOOKUP(Granger_Inventory[[#This Row],[quality]],Lookups!$A$25:$C$35,3,FALSE),1)</f>
        <v>0.98258795897788032</v>
      </c>
      <c r="BS148" s="4">
        <f>_xlfn.IFNA(VLOOKUP(Granger_Inventory[[#This Row],[condition]],Lookups!$A$38:$C$45,3,FALSE),1)</f>
        <v>0.99484195314749324</v>
      </c>
      <c r="BT148" s="4">
        <f>IF(Granger_Inventory[[#This Row],[decade]]="",1,_xlfn.IFNA(VLOOKUP(Granger_Inventory[[#This Row],[decade]],Lookups!$G$28:$I$42,3,FALSE),1))</f>
        <v>1.0159161060824455</v>
      </c>
      <c r="BU148" s="4">
        <f>_xlfn.IFNA(VLOOKUP(Granger_Inventory[[#This Row],[living_area_range]],Lookups!$A$48:$C$57,3,FALSE),1)</f>
        <v>0.97960506760539345</v>
      </c>
      <c r="BV148" s="4">
        <f>AVERAGE(Granger_Inventory[[#This Row],[qual_adj]:[living_range_adj]])</f>
        <v>0.99323777145330316</v>
      </c>
      <c r="BW148" s="8">
        <f>(Granger_Inventory[[#This Row],[sum_land]]-IF(Granger_Inventory[[#This Row],[no_utilities]]=1,12000,0))/IF(Granger_Inventory[[#This Row],[unbuildable]]=1,2,1)</f>
        <v>24733.049859725303</v>
      </c>
      <c r="BX148" s="8">
        <f>Granger_Inventory[[#This Row],[pre_res]]*Granger_Inventory[[#This Row],[overall_adj]]</f>
        <v>220708.4411691163</v>
      </c>
      <c r="BY148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148">
        <f>ROUND(Granger_Inventory[[#This Row],[detatched_value]]*Lookups!$I$45,-2)</f>
        <v>0</v>
      </c>
      <c r="CA148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48">
        <f>Granger_Inventory[[#This Row],[final_det]]+Granger_Inventory[[#This Row],[final_res]]</f>
        <v>209700</v>
      </c>
      <c r="CC148">
        <f>Granger_Inventory[[#This Row],[final_land]]+Granger_Inventory[[#This Row],[final_imp]]+Granger_Inventory[[#This Row],[crop_value]]</f>
        <v>233200</v>
      </c>
      <c r="CE148" t="str">
        <f t="shared" si="2"/>
        <v>update valuation set market_land =23500, market_bldg=209700, market_total =233200, market_mdno =402, market_date ='9/10/2023' where link_id = (select link_id from parcel where parcel_year = '2024' and parcel_id = '21101641539');</v>
      </c>
    </row>
    <row r="149" spans="1:83" x14ac:dyDescent="0.25">
      <c r="A149">
        <v>21101641541</v>
      </c>
      <c r="B149">
        <v>0.14000000000000001</v>
      </c>
      <c r="C149">
        <v>6043</v>
      </c>
      <c r="D149" t="s">
        <v>137</v>
      </c>
      <c r="E149" t="s">
        <v>54</v>
      </c>
      <c r="F149" t="s">
        <v>54</v>
      </c>
      <c r="G149">
        <v>3</v>
      </c>
      <c r="H149" t="s">
        <v>55</v>
      </c>
      <c r="I149">
        <v>268600</v>
      </c>
      <c r="J149">
        <v>25900</v>
      </c>
      <c r="K149">
        <v>0.14000000000000001</v>
      </c>
      <c r="L14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49">
        <v>0</v>
      </c>
      <c r="N149">
        <v>0</v>
      </c>
      <c r="O149">
        <v>0</v>
      </c>
      <c r="P149">
        <v>47108.068500000001</v>
      </c>
      <c r="Q149">
        <v>122298</v>
      </c>
      <c r="R149">
        <f>(Granger_Inventory[[#This Row],[ln_acres]]*Granger_Inventory[[#This Row],[coeff]])+Granger_Inventory[[#This Row],[const]]</f>
        <v>29678.220883257934</v>
      </c>
      <c r="S149" t="s">
        <v>69</v>
      </c>
      <c r="T149">
        <v>1</v>
      </c>
      <c r="U149" t="s">
        <v>64</v>
      </c>
      <c r="V149" t="s">
        <v>72</v>
      </c>
      <c r="W149">
        <v>0</v>
      </c>
      <c r="X149">
        <v>0</v>
      </c>
      <c r="Y149">
        <v>17</v>
      </c>
      <c r="Z149">
        <v>17</v>
      </c>
      <c r="AA149">
        <v>20</v>
      </c>
      <c r="AB149">
        <v>1500</v>
      </c>
      <c r="AC149">
        <v>1482</v>
      </c>
      <c r="AD149">
        <v>1482</v>
      </c>
      <c r="AE149">
        <v>0</v>
      </c>
      <c r="AF149">
        <v>0</v>
      </c>
      <c r="AG149">
        <v>0</v>
      </c>
      <c r="AH149">
        <v>0</v>
      </c>
      <c r="AI149">
        <v>264</v>
      </c>
      <c r="AJ149">
        <v>0</v>
      </c>
      <c r="AK149">
        <v>0</v>
      </c>
      <c r="AL149">
        <v>0</v>
      </c>
      <c r="AM149">
        <v>0</v>
      </c>
      <c r="AN149">
        <v>54</v>
      </c>
      <c r="AO149">
        <v>0</v>
      </c>
      <c r="AP149">
        <v>8</v>
      </c>
      <c r="AQ149">
        <v>0</v>
      </c>
      <c r="AR149">
        <v>0</v>
      </c>
      <c r="AS149" t="s">
        <v>59</v>
      </c>
      <c r="AT149">
        <v>1</v>
      </c>
      <c r="AU149" t="s">
        <v>63</v>
      </c>
      <c r="AV149" t="s">
        <v>65</v>
      </c>
      <c r="AW149">
        <v>1</v>
      </c>
      <c r="AX149">
        <v>4</v>
      </c>
      <c r="AY149">
        <v>0</v>
      </c>
      <c r="AZ149">
        <v>9800</v>
      </c>
      <c r="BA149">
        <v>100</v>
      </c>
      <c r="BB149">
        <v>100</v>
      </c>
      <c r="BC149">
        <v>100</v>
      </c>
      <c r="BD149">
        <v>100</v>
      </c>
      <c r="BE149">
        <v>1</v>
      </c>
      <c r="BF149">
        <v>15000</v>
      </c>
      <c r="BG149">
        <v>1000</v>
      </c>
      <c r="BH149" s="8">
        <f>Granger_Inventory[[#This Row],[land_extract]]*Lookups!$B$3</f>
        <v>17680.230269359956</v>
      </c>
      <c r="BI149" s="8">
        <f>IF(Granger_Inventory[[#This Row],[bldg_style]]="",0,Lookups!$B$2)</f>
        <v>29703.559000000001</v>
      </c>
      <c r="BJ149" s="8">
        <f>_xlfn.IFNA(VLOOKUP(Granger_Inventory[[#This Row],[quality]],Lookups!$H$2:$J$14,3,FALSE),0)</f>
        <v>36568</v>
      </c>
      <c r="BK149" s="8">
        <f>_xlfn.IFNA(VLOOKUP(Granger_Inventory[[#This Row],[condition]],Lookups!$H$17:$J$24,3,FALSE),0)</f>
        <v>94106</v>
      </c>
      <c r="BL149" s="8">
        <f>Granger_Inventory[[#This Row],[Age]]*Lookups!$B$16</f>
        <v>-3524.6286999999998</v>
      </c>
      <c r="BM149" s="8">
        <f>Granger_Inventory[[#This Row],[living_area]]*Lookups!$B$17</f>
        <v>99698.451138000004</v>
      </c>
      <c r="BN149" s="8">
        <f>(Granger_Inventory[[#This Row],[att_gar]]+Granger_Inventory[[#This Row],[blt_gar]])*Lookups!$B$18</f>
        <v>12790.162704</v>
      </c>
      <c r="BO149" s="8">
        <f>Granger_Inventory[[#This Row],[Patio]]*Lookups!$B$19</f>
        <v>0</v>
      </c>
      <c r="BP149" s="8">
        <f>SUM(Granger_Inventory[[#This Row],[Intercept]:[Patio_Value]])*Granger_Inventory[[#This Row],[res_pct]]</f>
        <v>269341.54414200003</v>
      </c>
      <c r="BQ149" s="8">
        <f>Granger_Inventory[[#This Row],[land_value]]</f>
        <v>17680.230269359956</v>
      </c>
      <c r="BR149" s="4">
        <f>_xlfn.IFNA(VLOOKUP(Granger_Inventory[[#This Row],[quality]],Lookups!$A$25:$C$35,3,FALSE),1)</f>
        <v>0.99049976351917957</v>
      </c>
      <c r="BS149" s="4">
        <f>_xlfn.IFNA(VLOOKUP(Granger_Inventory[[#This Row],[condition]],Lookups!$A$38:$C$45,3,FALSE),1)</f>
        <v>0.98658583151544277</v>
      </c>
      <c r="BT149" s="4">
        <f>IF(Granger_Inventory[[#This Row],[decade]]="",1,_xlfn.IFNA(VLOOKUP(Granger_Inventory[[#This Row],[decade]],Lookups!$G$28:$I$42,3,FALSE),1))</f>
        <v>1.0159161060824455</v>
      </c>
      <c r="BU149" s="4">
        <f>_xlfn.IFNA(VLOOKUP(Granger_Inventory[[#This Row],[living_area_range]],Lookups!$A$48:$C$57,3,FALSE),1)</f>
        <v>0.97960506760539345</v>
      </c>
      <c r="BV149" s="4">
        <f>AVERAGE(Granger_Inventory[[#This Row],[qual_adj]:[living_range_adj]])</f>
        <v>0.99315169218061539</v>
      </c>
      <c r="BW149" s="8">
        <f>(Granger_Inventory[[#This Row],[sum_land]]-IF(Granger_Inventory[[#This Row],[no_utilities]]=1,12000,0))/IF(Granger_Inventory[[#This Row],[unbuildable]]=1,2,1)</f>
        <v>17680.230269359956</v>
      </c>
      <c r="BX149" s="8">
        <f>Granger_Inventory[[#This Row],[pre_res]]*Granger_Inventory[[#This Row],[overall_adj]]</f>
        <v>267497.01033916726</v>
      </c>
      <c r="BY14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49">
        <f>ROUND(Granger_Inventory[[#This Row],[detatched_value]]*Lookups!$I$45,-2)</f>
        <v>9300</v>
      </c>
      <c r="CA149">
        <f>IF(ROUND(Granger_Inventory[[#This Row],[adj_res]]*Lookups!$I$45,-2)&lt;Granger_Inventory[[#This Row],[min_res]],Granger_Inventory[[#This Row],[min_res]],ROUND(Granger_Inventory[[#This Row],[adj_res]]*Lookups!$I$45,-2))</f>
        <v>254100</v>
      </c>
      <c r="CB149">
        <f>Granger_Inventory[[#This Row],[final_det]]+Granger_Inventory[[#This Row],[final_res]]</f>
        <v>263400</v>
      </c>
      <c r="CC149">
        <f>Granger_Inventory[[#This Row],[final_land]]+Granger_Inventory[[#This Row],[final_imp]]+Granger_Inventory[[#This Row],[crop_value]]</f>
        <v>280200</v>
      </c>
      <c r="CE149" t="str">
        <f t="shared" si="2"/>
        <v>update valuation set market_land =16800, market_bldg=263400, market_total =280200, market_mdno =402, market_date ='9/10/2023' where link_id = (select link_id from parcel where parcel_year = '2024' and parcel_id = '21101641541');</v>
      </c>
    </row>
    <row r="150" spans="1:83" x14ac:dyDescent="0.25">
      <c r="A150">
        <v>21101641542</v>
      </c>
      <c r="B150">
        <v>0.17</v>
      </c>
      <c r="C150">
        <v>7296</v>
      </c>
      <c r="D150" t="s">
        <v>137</v>
      </c>
      <c r="E150" t="s">
        <v>54</v>
      </c>
      <c r="F150" t="s">
        <v>54</v>
      </c>
      <c r="G150">
        <v>3</v>
      </c>
      <c r="H150" t="s">
        <v>55</v>
      </c>
      <c r="I150">
        <v>184900</v>
      </c>
      <c r="J150">
        <v>27100</v>
      </c>
      <c r="K150">
        <v>0.17</v>
      </c>
      <c r="L150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150">
        <v>0</v>
      </c>
      <c r="N150">
        <v>0</v>
      </c>
      <c r="O150">
        <v>0</v>
      </c>
      <c r="P150">
        <v>47108.068500000001</v>
      </c>
      <c r="Q150">
        <v>122298</v>
      </c>
      <c r="R150">
        <f>(Granger_Inventory[[#This Row],[ln_acres]]*Granger_Inventory[[#This Row],[coeff]])+Granger_Inventory[[#This Row],[const]]</f>
        <v>38824.535711229546</v>
      </c>
      <c r="S150" t="s">
        <v>69</v>
      </c>
      <c r="T150">
        <v>1</v>
      </c>
      <c r="U150" t="s">
        <v>71</v>
      </c>
      <c r="V150" t="s">
        <v>72</v>
      </c>
      <c r="W150">
        <v>0</v>
      </c>
      <c r="X150">
        <v>0</v>
      </c>
      <c r="Y150">
        <v>17</v>
      </c>
      <c r="Z150">
        <v>17</v>
      </c>
      <c r="AA150">
        <v>20</v>
      </c>
      <c r="AB150">
        <v>1000</v>
      </c>
      <c r="AC150">
        <v>960</v>
      </c>
      <c r="AD150">
        <v>960</v>
      </c>
      <c r="AE150">
        <v>0</v>
      </c>
      <c r="AF150">
        <v>0</v>
      </c>
      <c r="AG150">
        <v>0</v>
      </c>
      <c r="AH150">
        <v>0</v>
      </c>
      <c r="AI150">
        <v>264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5</v>
      </c>
      <c r="AQ150">
        <v>0</v>
      </c>
      <c r="AR150">
        <v>0</v>
      </c>
      <c r="AS150" t="s">
        <v>59</v>
      </c>
      <c r="AT150">
        <v>1</v>
      </c>
      <c r="AU150" t="s">
        <v>68</v>
      </c>
      <c r="AV150" t="s">
        <v>65</v>
      </c>
      <c r="AW150">
        <v>0</v>
      </c>
      <c r="AX150">
        <v>3</v>
      </c>
      <c r="AY150">
        <v>0</v>
      </c>
      <c r="AZ150">
        <v>0</v>
      </c>
      <c r="BA150">
        <v>100</v>
      </c>
      <c r="BB150">
        <v>100</v>
      </c>
      <c r="BC150">
        <v>100</v>
      </c>
      <c r="BD150">
        <v>100</v>
      </c>
      <c r="BE150">
        <v>1</v>
      </c>
      <c r="BF150">
        <v>15000</v>
      </c>
      <c r="BG150">
        <v>1000</v>
      </c>
      <c r="BH150" s="8">
        <f>Granger_Inventory[[#This Row],[land_extract]]*Lookups!$B$3</f>
        <v>23128.971718879347</v>
      </c>
      <c r="BI150" s="8">
        <f>IF(Granger_Inventory[[#This Row],[bldg_style]]="",0,Lookups!$B$2)</f>
        <v>29703.559000000001</v>
      </c>
      <c r="BJ150" s="8">
        <f>_xlfn.IFNA(VLOOKUP(Granger_Inventory[[#This Row],[quality]],Lookups!$H$2:$J$14,3,FALSE),0)</f>
        <v>34195</v>
      </c>
      <c r="BK150" s="8">
        <f>_xlfn.IFNA(VLOOKUP(Granger_Inventory[[#This Row],[condition]],Lookups!$H$17:$J$24,3,FALSE),0)</f>
        <v>94106</v>
      </c>
      <c r="BL150" s="8">
        <f>Granger_Inventory[[#This Row],[Age]]*Lookups!$B$16</f>
        <v>-3524.6286999999998</v>
      </c>
      <c r="BM150" s="8">
        <f>Granger_Inventory[[#This Row],[living_area]]*Lookups!$B$17</f>
        <v>64581.992639999997</v>
      </c>
      <c r="BN150" s="8">
        <f>(Granger_Inventory[[#This Row],[att_gar]]+Granger_Inventory[[#This Row],[blt_gar]])*Lookups!$B$18</f>
        <v>12790.162704</v>
      </c>
      <c r="BO150" s="8">
        <f>Granger_Inventory[[#This Row],[Patio]]*Lookups!$B$19</f>
        <v>0</v>
      </c>
      <c r="BP150" s="8">
        <f>SUM(Granger_Inventory[[#This Row],[Intercept]:[Patio_Value]])*Granger_Inventory[[#This Row],[res_pct]]</f>
        <v>231852.08564400001</v>
      </c>
      <c r="BQ150" s="8">
        <f>Granger_Inventory[[#This Row],[land_value]]</f>
        <v>23128.971718879347</v>
      </c>
      <c r="BR150" s="4">
        <f>_xlfn.IFNA(VLOOKUP(Granger_Inventory[[#This Row],[quality]],Lookups!$A$25:$C$35,3,FALSE),1)</f>
        <v>0.98258795897788032</v>
      </c>
      <c r="BS150" s="4">
        <f>_xlfn.IFNA(VLOOKUP(Granger_Inventory[[#This Row],[condition]],Lookups!$A$38:$C$45,3,FALSE),1)</f>
        <v>0.98658583151544277</v>
      </c>
      <c r="BT150" s="4">
        <f>IF(Granger_Inventory[[#This Row],[decade]]="",1,_xlfn.IFNA(VLOOKUP(Granger_Inventory[[#This Row],[decade]],Lookups!$G$28:$I$42,3,FALSE),1))</f>
        <v>1.0159161060824455</v>
      </c>
      <c r="BU150" s="4">
        <f>_xlfn.IFNA(VLOOKUP(Granger_Inventory[[#This Row],[living_area_range]],Lookups!$A$48:$C$57,3,FALSE),1)</f>
        <v>0.81272404900450645</v>
      </c>
      <c r="BV150" s="4">
        <f>AVERAGE(Granger_Inventory[[#This Row],[qual_adj]:[living_range_adj]])</f>
        <v>0.94945348639506877</v>
      </c>
      <c r="BW150" s="8">
        <f>(Granger_Inventory[[#This Row],[sum_land]]-IF(Granger_Inventory[[#This Row],[no_utilities]]=1,12000,0))/IF(Granger_Inventory[[#This Row],[unbuildable]]=1,2,1)</f>
        <v>23128.971718879347</v>
      </c>
      <c r="BX150" s="8">
        <f>Granger_Inventory[[#This Row],[pre_res]]*Granger_Inventory[[#This Row],[overall_adj]]</f>
        <v>220132.77104266387</v>
      </c>
      <c r="BY150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150">
        <f>ROUND(Granger_Inventory[[#This Row],[detatched_value]]*Lookups!$I$45,-2)</f>
        <v>0</v>
      </c>
      <c r="CA150">
        <f>IF(ROUND(Granger_Inventory[[#This Row],[adj_res]]*Lookups!$I$45,-2)&lt;Granger_Inventory[[#This Row],[min_res]],Granger_Inventory[[#This Row],[min_res]],ROUND(Granger_Inventory[[#This Row],[adj_res]]*Lookups!$I$45,-2))</f>
        <v>209100</v>
      </c>
      <c r="CB150">
        <f>Granger_Inventory[[#This Row],[final_det]]+Granger_Inventory[[#This Row],[final_res]]</f>
        <v>209100</v>
      </c>
      <c r="CC150">
        <f>Granger_Inventory[[#This Row],[final_land]]+Granger_Inventory[[#This Row],[final_imp]]+Granger_Inventory[[#This Row],[crop_value]]</f>
        <v>231100</v>
      </c>
      <c r="CE150" t="str">
        <f t="shared" si="2"/>
        <v>update valuation set market_land =22000, market_bldg=209100, market_total =231100, market_mdno =402, market_date ='9/10/2023' where link_id = (select link_id from parcel where parcel_year = '2024' and parcel_id = '21101641542');</v>
      </c>
    </row>
    <row r="151" spans="1:83" x14ac:dyDescent="0.25">
      <c r="A151">
        <v>21101641543</v>
      </c>
      <c r="B151">
        <v>0.14000000000000001</v>
      </c>
      <c r="C151">
        <v>6001</v>
      </c>
      <c r="D151" t="s">
        <v>137</v>
      </c>
      <c r="E151" t="s">
        <v>54</v>
      </c>
      <c r="F151" t="s">
        <v>54</v>
      </c>
      <c r="G151">
        <v>3</v>
      </c>
      <c r="H151" t="s">
        <v>55</v>
      </c>
      <c r="I151">
        <v>184900</v>
      </c>
      <c r="J151">
        <v>25900</v>
      </c>
      <c r="K151">
        <v>0.14000000000000001</v>
      </c>
      <c r="L15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1">
        <v>0</v>
      </c>
      <c r="N151">
        <v>0</v>
      </c>
      <c r="O151">
        <v>0</v>
      </c>
      <c r="P151">
        <v>47108.068500000001</v>
      </c>
      <c r="Q151">
        <v>122298</v>
      </c>
      <c r="R151">
        <f>(Granger_Inventory[[#This Row],[ln_acres]]*Granger_Inventory[[#This Row],[coeff]])+Granger_Inventory[[#This Row],[const]]</f>
        <v>29678.220883257934</v>
      </c>
      <c r="S151" t="s">
        <v>69</v>
      </c>
      <c r="T151">
        <v>1</v>
      </c>
      <c r="U151" t="s">
        <v>71</v>
      </c>
      <c r="V151" t="s">
        <v>72</v>
      </c>
      <c r="W151">
        <v>0</v>
      </c>
      <c r="X151">
        <v>0</v>
      </c>
      <c r="Y151">
        <v>17</v>
      </c>
      <c r="Z151">
        <v>17</v>
      </c>
      <c r="AA151">
        <v>20</v>
      </c>
      <c r="AB151">
        <v>1000</v>
      </c>
      <c r="AC151">
        <v>960</v>
      </c>
      <c r="AD151">
        <v>960</v>
      </c>
      <c r="AE151">
        <v>0</v>
      </c>
      <c r="AF151">
        <v>0</v>
      </c>
      <c r="AG151">
        <v>0</v>
      </c>
      <c r="AH151">
        <v>0</v>
      </c>
      <c r="AI151">
        <v>264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5</v>
      </c>
      <c r="AQ151">
        <v>0</v>
      </c>
      <c r="AR151">
        <v>0</v>
      </c>
      <c r="AS151" t="s">
        <v>59</v>
      </c>
      <c r="AT151">
        <v>1</v>
      </c>
      <c r="AU151" t="s">
        <v>68</v>
      </c>
      <c r="AV151" t="s">
        <v>65</v>
      </c>
      <c r="AW151">
        <v>0</v>
      </c>
      <c r="AX151">
        <v>3</v>
      </c>
      <c r="AY151">
        <v>0</v>
      </c>
      <c r="AZ151">
        <v>0</v>
      </c>
      <c r="BA151">
        <v>100</v>
      </c>
      <c r="BB151">
        <v>100</v>
      </c>
      <c r="BC151">
        <v>100</v>
      </c>
      <c r="BD151">
        <v>100</v>
      </c>
      <c r="BE151">
        <v>1</v>
      </c>
      <c r="BF151">
        <v>15000</v>
      </c>
      <c r="BG151">
        <v>1000</v>
      </c>
      <c r="BH151" s="8">
        <f>Granger_Inventory[[#This Row],[land_extract]]*Lookups!$B$3</f>
        <v>17680.230269359956</v>
      </c>
      <c r="BI151" s="8">
        <f>IF(Granger_Inventory[[#This Row],[bldg_style]]="",0,Lookups!$B$2)</f>
        <v>29703.559000000001</v>
      </c>
      <c r="BJ151" s="8">
        <f>_xlfn.IFNA(VLOOKUP(Granger_Inventory[[#This Row],[quality]],Lookups!$H$2:$J$14,3,FALSE),0)</f>
        <v>34195</v>
      </c>
      <c r="BK151" s="8">
        <f>_xlfn.IFNA(VLOOKUP(Granger_Inventory[[#This Row],[condition]],Lookups!$H$17:$J$24,3,FALSE),0)</f>
        <v>94106</v>
      </c>
      <c r="BL151" s="8">
        <f>Granger_Inventory[[#This Row],[Age]]*Lookups!$B$16</f>
        <v>-3524.6286999999998</v>
      </c>
      <c r="BM151" s="8">
        <f>Granger_Inventory[[#This Row],[living_area]]*Lookups!$B$17</f>
        <v>64581.992639999997</v>
      </c>
      <c r="BN151" s="8">
        <f>(Granger_Inventory[[#This Row],[att_gar]]+Granger_Inventory[[#This Row],[blt_gar]])*Lookups!$B$18</f>
        <v>12790.162704</v>
      </c>
      <c r="BO151" s="8">
        <f>Granger_Inventory[[#This Row],[Patio]]*Lookups!$B$19</f>
        <v>0</v>
      </c>
      <c r="BP151" s="8">
        <f>SUM(Granger_Inventory[[#This Row],[Intercept]:[Patio_Value]])*Granger_Inventory[[#This Row],[res_pct]]</f>
        <v>231852.08564400001</v>
      </c>
      <c r="BQ151" s="8">
        <f>Granger_Inventory[[#This Row],[land_value]]</f>
        <v>17680.230269359956</v>
      </c>
      <c r="BR151" s="4">
        <f>_xlfn.IFNA(VLOOKUP(Granger_Inventory[[#This Row],[quality]],Lookups!$A$25:$C$35,3,FALSE),1)</f>
        <v>0.98258795897788032</v>
      </c>
      <c r="BS151" s="4">
        <f>_xlfn.IFNA(VLOOKUP(Granger_Inventory[[#This Row],[condition]],Lookups!$A$38:$C$45,3,FALSE),1)</f>
        <v>0.98658583151544277</v>
      </c>
      <c r="BT151" s="4">
        <f>IF(Granger_Inventory[[#This Row],[decade]]="",1,_xlfn.IFNA(VLOOKUP(Granger_Inventory[[#This Row],[decade]],Lookups!$G$28:$I$42,3,FALSE),1))</f>
        <v>1.0159161060824455</v>
      </c>
      <c r="BU151" s="4">
        <f>_xlfn.IFNA(VLOOKUP(Granger_Inventory[[#This Row],[living_area_range]],Lookups!$A$48:$C$57,3,FALSE),1)</f>
        <v>0.81272404900450645</v>
      </c>
      <c r="BV151" s="4">
        <f>AVERAGE(Granger_Inventory[[#This Row],[qual_adj]:[living_range_adj]])</f>
        <v>0.94945348639506877</v>
      </c>
      <c r="BW151" s="8">
        <f>(Granger_Inventory[[#This Row],[sum_land]]-IF(Granger_Inventory[[#This Row],[no_utilities]]=1,12000,0))/IF(Granger_Inventory[[#This Row],[unbuildable]]=1,2,1)</f>
        <v>17680.230269359956</v>
      </c>
      <c r="BX151" s="8">
        <f>Granger_Inventory[[#This Row],[pre_res]]*Granger_Inventory[[#This Row],[overall_adj]]</f>
        <v>220132.77104266387</v>
      </c>
      <c r="BY15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1">
        <f>ROUND(Granger_Inventory[[#This Row],[detatched_value]]*Lookups!$I$45,-2)</f>
        <v>0</v>
      </c>
      <c r="CA151">
        <f>IF(ROUND(Granger_Inventory[[#This Row],[adj_res]]*Lookups!$I$45,-2)&lt;Granger_Inventory[[#This Row],[min_res]],Granger_Inventory[[#This Row],[min_res]],ROUND(Granger_Inventory[[#This Row],[adj_res]]*Lookups!$I$45,-2))</f>
        <v>209100</v>
      </c>
      <c r="CB151">
        <f>Granger_Inventory[[#This Row],[final_det]]+Granger_Inventory[[#This Row],[final_res]]</f>
        <v>209100</v>
      </c>
      <c r="CC151">
        <f>Granger_Inventory[[#This Row],[final_land]]+Granger_Inventory[[#This Row],[final_imp]]+Granger_Inventory[[#This Row],[crop_value]]</f>
        <v>225900</v>
      </c>
      <c r="CE151" t="str">
        <f t="shared" si="2"/>
        <v>update valuation set market_land =16800, market_bldg=209100, market_total =225900, market_mdno =402, market_date ='9/10/2023' where link_id = (select link_id from parcel where parcel_year = '2024' and parcel_id = '21101641543');</v>
      </c>
    </row>
    <row r="152" spans="1:83" x14ac:dyDescent="0.25">
      <c r="A152">
        <v>21101641544</v>
      </c>
      <c r="B152">
        <v>0.14000000000000001</v>
      </c>
      <c r="C152">
        <v>6003</v>
      </c>
      <c r="D152" t="s">
        <v>137</v>
      </c>
      <c r="E152" t="s">
        <v>54</v>
      </c>
      <c r="F152" t="s">
        <v>54</v>
      </c>
      <c r="G152">
        <v>3</v>
      </c>
      <c r="H152" t="s">
        <v>55</v>
      </c>
      <c r="I152">
        <v>184900</v>
      </c>
      <c r="J152">
        <v>25900</v>
      </c>
      <c r="K152">
        <v>0.14000000000000001</v>
      </c>
      <c r="L15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2">
        <v>0</v>
      </c>
      <c r="N152">
        <v>0</v>
      </c>
      <c r="O152">
        <v>0</v>
      </c>
      <c r="P152">
        <v>47108.068500000001</v>
      </c>
      <c r="Q152">
        <v>122298</v>
      </c>
      <c r="R152">
        <f>(Granger_Inventory[[#This Row],[ln_acres]]*Granger_Inventory[[#This Row],[coeff]])+Granger_Inventory[[#This Row],[const]]</f>
        <v>29678.220883257934</v>
      </c>
      <c r="S152" t="s">
        <v>69</v>
      </c>
      <c r="T152">
        <v>1</v>
      </c>
      <c r="U152" t="s">
        <v>71</v>
      </c>
      <c r="V152" t="s">
        <v>72</v>
      </c>
      <c r="W152">
        <v>0</v>
      </c>
      <c r="X152">
        <v>0</v>
      </c>
      <c r="Y152">
        <v>17</v>
      </c>
      <c r="Z152">
        <v>17</v>
      </c>
      <c r="AA152">
        <v>20</v>
      </c>
      <c r="AB152">
        <v>1000</v>
      </c>
      <c r="AC152">
        <v>960</v>
      </c>
      <c r="AD152">
        <v>960</v>
      </c>
      <c r="AE152">
        <v>0</v>
      </c>
      <c r="AF152">
        <v>0</v>
      </c>
      <c r="AG152">
        <v>0</v>
      </c>
      <c r="AH152">
        <v>0</v>
      </c>
      <c r="AI152">
        <v>264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5</v>
      </c>
      <c r="AQ152">
        <v>0</v>
      </c>
      <c r="AR152">
        <v>0</v>
      </c>
      <c r="AS152" t="s">
        <v>59</v>
      </c>
      <c r="AT152">
        <v>1</v>
      </c>
      <c r="AU152" t="s">
        <v>63</v>
      </c>
      <c r="AV152" t="s">
        <v>65</v>
      </c>
      <c r="AW152">
        <v>1</v>
      </c>
      <c r="AX152">
        <v>3</v>
      </c>
      <c r="AY152">
        <v>0</v>
      </c>
      <c r="AZ152">
        <v>0</v>
      </c>
      <c r="BA152">
        <v>100</v>
      </c>
      <c r="BB152">
        <v>100</v>
      </c>
      <c r="BC152">
        <v>100</v>
      </c>
      <c r="BD152">
        <v>100</v>
      </c>
      <c r="BE152">
        <v>1</v>
      </c>
      <c r="BF152">
        <v>15000</v>
      </c>
      <c r="BG152">
        <v>1000</v>
      </c>
      <c r="BH152" s="8">
        <f>Granger_Inventory[[#This Row],[land_extract]]*Lookups!$B$3</f>
        <v>17680.230269359956</v>
      </c>
      <c r="BI152" s="8">
        <f>IF(Granger_Inventory[[#This Row],[bldg_style]]="",0,Lookups!$B$2)</f>
        <v>29703.559000000001</v>
      </c>
      <c r="BJ152" s="8">
        <f>_xlfn.IFNA(VLOOKUP(Granger_Inventory[[#This Row],[quality]],Lookups!$H$2:$J$14,3,FALSE),0)</f>
        <v>34195</v>
      </c>
      <c r="BK152" s="8">
        <f>_xlfn.IFNA(VLOOKUP(Granger_Inventory[[#This Row],[condition]],Lookups!$H$17:$J$24,3,FALSE),0)</f>
        <v>94106</v>
      </c>
      <c r="BL152" s="8">
        <f>Granger_Inventory[[#This Row],[Age]]*Lookups!$B$16</f>
        <v>-3524.6286999999998</v>
      </c>
      <c r="BM152" s="8">
        <f>Granger_Inventory[[#This Row],[living_area]]*Lookups!$B$17</f>
        <v>64581.992639999997</v>
      </c>
      <c r="BN152" s="8">
        <f>(Granger_Inventory[[#This Row],[att_gar]]+Granger_Inventory[[#This Row],[blt_gar]])*Lookups!$B$18</f>
        <v>12790.162704</v>
      </c>
      <c r="BO152" s="8">
        <f>Granger_Inventory[[#This Row],[Patio]]*Lookups!$B$19</f>
        <v>0</v>
      </c>
      <c r="BP152" s="8">
        <f>SUM(Granger_Inventory[[#This Row],[Intercept]:[Patio_Value]])*Granger_Inventory[[#This Row],[res_pct]]</f>
        <v>231852.08564400001</v>
      </c>
      <c r="BQ152" s="8">
        <f>Granger_Inventory[[#This Row],[land_value]]</f>
        <v>17680.230269359956</v>
      </c>
      <c r="BR152" s="4">
        <f>_xlfn.IFNA(VLOOKUP(Granger_Inventory[[#This Row],[quality]],Lookups!$A$25:$C$35,3,FALSE),1)</f>
        <v>0.98258795897788032</v>
      </c>
      <c r="BS152" s="4">
        <f>_xlfn.IFNA(VLOOKUP(Granger_Inventory[[#This Row],[condition]],Lookups!$A$38:$C$45,3,FALSE),1)</f>
        <v>0.98658583151544277</v>
      </c>
      <c r="BT152" s="4">
        <f>IF(Granger_Inventory[[#This Row],[decade]]="",1,_xlfn.IFNA(VLOOKUP(Granger_Inventory[[#This Row],[decade]],Lookups!$G$28:$I$42,3,FALSE),1))</f>
        <v>1.0159161060824455</v>
      </c>
      <c r="BU152" s="4">
        <f>_xlfn.IFNA(VLOOKUP(Granger_Inventory[[#This Row],[living_area_range]],Lookups!$A$48:$C$57,3,FALSE),1)</f>
        <v>0.81272404900450645</v>
      </c>
      <c r="BV152" s="4">
        <f>AVERAGE(Granger_Inventory[[#This Row],[qual_adj]:[living_range_adj]])</f>
        <v>0.94945348639506877</v>
      </c>
      <c r="BW152" s="8">
        <f>(Granger_Inventory[[#This Row],[sum_land]]-IF(Granger_Inventory[[#This Row],[no_utilities]]=1,12000,0))/IF(Granger_Inventory[[#This Row],[unbuildable]]=1,2,1)</f>
        <v>17680.230269359956</v>
      </c>
      <c r="BX152" s="8">
        <f>Granger_Inventory[[#This Row],[pre_res]]*Granger_Inventory[[#This Row],[overall_adj]]</f>
        <v>220132.77104266387</v>
      </c>
      <c r="BY15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2">
        <f>ROUND(Granger_Inventory[[#This Row],[detatched_value]]*Lookups!$I$45,-2)</f>
        <v>0</v>
      </c>
      <c r="CA152">
        <f>IF(ROUND(Granger_Inventory[[#This Row],[adj_res]]*Lookups!$I$45,-2)&lt;Granger_Inventory[[#This Row],[min_res]],Granger_Inventory[[#This Row],[min_res]],ROUND(Granger_Inventory[[#This Row],[adj_res]]*Lookups!$I$45,-2))</f>
        <v>209100</v>
      </c>
      <c r="CB152">
        <f>Granger_Inventory[[#This Row],[final_det]]+Granger_Inventory[[#This Row],[final_res]]</f>
        <v>209100</v>
      </c>
      <c r="CC152">
        <f>Granger_Inventory[[#This Row],[final_land]]+Granger_Inventory[[#This Row],[final_imp]]+Granger_Inventory[[#This Row],[crop_value]]</f>
        <v>225900</v>
      </c>
      <c r="CE152" t="str">
        <f t="shared" si="2"/>
        <v>update valuation set market_land =16800, market_bldg=209100, market_total =225900, market_mdno =402, market_date ='9/10/2023' where link_id = (select link_id from parcel where parcel_year = '2024' and parcel_id = '21101641544');</v>
      </c>
    </row>
    <row r="153" spans="1:83" x14ac:dyDescent="0.25">
      <c r="A153">
        <v>21101641545</v>
      </c>
      <c r="B153">
        <v>0.14000000000000001</v>
      </c>
      <c r="C153">
        <v>6005</v>
      </c>
      <c r="D153" t="s">
        <v>137</v>
      </c>
      <c r="E153" t="s">
        <v>54</v>
      </c>
      <c r="F153" t="s">
        <v>54</v>
      </c>
      <c r="G153">
        <v>3</v>
      </c>
      <c r="H153" t="s">
        <v>55</v>
      </c>
      <c r="I153">
        <v>195400</v>
      </c>
      <c r="J153">
        <v>25900</v>
      </c>
      <c r="K153">
        <v>0.14000000000000001</v>
      </c>
      <c r="L15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3">
        <v>0</v>
      </c>
      <c r="N153">
        <v>0</v>
      </c>
      <c r="O153">
        <v>0</v>
      </c>
      <c r="P153">
        <v>47108.068500000001</v>
      </c>
      <c r="Q153">
        <v>122298</v>
      </c>
      <c r="R153">
        <f>(Granger_Inventory[[#This Row],[ln_acres]]*Granger_Inventory[[#This Row],[coeff]])+Granger_Inventory[[#This Row],[const]]</f>
        <v>29678.220883257934</v>
      </c>
      <c r="S153" t="s">
        <v>69</v>
      </c>
      <c r="T153">
        <v>1</v>
      </c>
      <c r="U153" t="s">
        <v>64</v>
      </c>
      <c r="V153" t="s">
        <v>72</v>
      </c>
      <c r="W153">
        <v>0</v>
      </c>
      <c r="X153">
        <v>0</v>
      </c>
      <c r="Y153">
        <v>17</v>
      </c>
      <c r="Z153">
        <v>17</v>
      </c>
      <c r="AA153">
        <v>20</v>
      </c>
      <c r="AB153">
        <v>1000</v>
      </c>
      <c r="AC153">
        <v>960</v>
      </c>
      <c r="AD153">
        <v>960</v>
      </c>
      <c r="AE153">
        <v>0</v>
      </c>
      <c r="AF153">
        <v>0</v>
      </c>
      <c r="AG153">
        <v>0</v>
      </c>
      <c r="AH153">
        <v>0</v>
      </c>
      <c r="AI153">
        <v>264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5</v>
      </c>
      <c r="AQ153">
        <v>0</v>
      </c>
      <c r="AR153">
        <v>0</v>
      </c>
      <c r="AS153" t="s">
        <v>59</v>
      </c>
      <c r="AT153">
        <v>1</v>
      </c>
      <c r="AU153" t="s">
        <v>63</v>
      </c>
      <c r="AV153" t="s">
        <v>65</v>
      </c>
      <c r="AW153">
        <v>1</v>
      </c>
      <c r="AX153">
        <v>3</v>
      </c>
      <c r="AY153">
        <v>0</v>
      </c>
      <c r="AZ153">
        <v>0</v>
      </c>
      <c r="BA153">
        <v>100</v>
      </c>
      <c r="BB153">
        <v>100</v>
      </c>
      <c r="BC153">
        <v>100</v>
      </c>
      <c r="BD153">
        <v>100</v>
      </c>
      <c r="BE153">
        <v>1</v>
      </c>
      <c r="BF153">
        <v>15000</v>
      </c>
      <c r="BG153">
        <v>1000</v>
      </c>
      <c r="BH153" s="8">
        <f>Granger_Inventory[[#This Row],[land_extract]]*Lookups!$B$3</f>
        <v>17680.230269359956</v>
      </c>
      <c r="BI153" s="8">
        <f>IF(Granger_Inventory[[#This Row],[bldg_style]]="",0,Lookups!$B$2)</f>
        <v>29703.559000000001</v>
      </c>
      <c r="BJ153" s="8">
        <f>_xlfn.IFNA(VLOOKUP(Granger_Inventory[[#This Row],[quality]],Lookups!$H$2:$J$14,3,FALSE),0)</f>
        <v>36568</v>
      </c>
      <c r="BK153" s="8">
        <f>_xlfn.IFNA(VLOOKUP(Granger_Inventory[[#This Row],[condition]],Lookups!$H$17:$J$24,3,FALSE),0)</f>
        <v>94106</v>
      </c>
      <c r="BL153" s="8">
        <f>Granger_Inventory[[#This Row],[Age]]*Lookups!$B$16</f>
        <v>-3524.6286999999998</v>
      </c>
      <c r="BM153" s="8">
        <f>Granger_Inventory[[#This Row],[living_area]]*Lookups!$B$17</f>
        <v>64581.992639999997</v>
      </c>
      <c r="BN153" s="8">
        <f>(Granger_Inventory[[#This Row],[att_gar]]+Granger_Inventory[[#This Row],[blt_gar]])*Lookups!$B$18</f>
        <v>12790.162704</v>
      </c>
      <c r="BO153" s="8">
        <f>Granger_Inventory[[#This Row],[Patio]]*Lookups!$B$19</f>
        <v>0</v>
      </c>
      <c r="BP153" s="8">
        <f>SUM(Granger_Inventory[[#This Row],[Intercept]:[Patio_Value]])*Granger_Inventory[[#This Row],[res_pct]]</f>
        <v>234225.08564400001</v>
      </c>
      <c r="BQ153" s="8">
        <f>Granger_Inventory[[#This Row],[land_value]]</f>
        <v>17680.230269359956</v>
      </c>
      <c r="BR153" s="4">
        <f>_xlfn.IFNA(VLOOKUP(Granger_Inventory[[#This Row],[quality]],Lookups!$A$25:$C$35,3,FALSE),1)</f>
        <v>0.99049976351917957</v>
      </c>
      <c r="BS153" s="4">
        <f>_xlfn.IFNA(VLOOKUP(Granger_Inventory[[#This Row],[condition]],Lookups!$A$38:$C$45,3,FALSE),1)</f>
        <v>0.98658583151544277</v>
      </c>
      <c r="BT153" s="4">
        <f>IF(Granger_Inventory[[#This Row],[decade]]="",1,_xlfn.IFNA(VLOOKUP(Granger_Inventory[[#This Row],[decade]],Lookups!$G$28:$I$42,3,FALSE),1))</f>
        <v>1.0159161060824455</v>
      </c>
      <c r="BU153" s="4">
        <f>_xlfn.IFNA(VLOOKUP(Granger_Inventory[[#This Row],[living_area_range]],Lookups!$A$48:$C$57,3,FALSE),1)</f>
        <v>0.81272404900450645</v>
      </c>
      <c r="BV153" s="4">
        <f>AVERAGE(Granger_Inventory[[#This Row],[qual_adj]:[living_range_adj]])</f>
        <v>0.95143143753039361</v>
      </c>
      <c r="BW153" s="8">
        <f>(Granger_Inventory[[#This Row],[sum_land]]-IF(Granger_Inventory[[#This Row],[no_utilities]]=1,12000,0))/IF(Granger_Inventory[[#This Row],[unbuildable]]=1,2,1)</f>
        <v>17680.230269359956</v>
      </c>
      <c r="BX153" s="8">
        <f>Granger_Inventory[[#This Row],[pre_res]]*Granger_Inventory[[#This Row],[overall_adj]]</f>
        <v>222849.10993995049</v>
      </c>
      <c r="BY15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3">
        <f>ROUND(Granger_Inventory[[#This Row],[detatched_value]]*Lookups!$I$45,-2)</f>
        <v>0</v>
      </c>
      <c r="CA153">
        <f>IF(ROUND(Granger_Inventory[[#This Row],[adj_res]]*Lookups!$I$45,-2)&lt;Granger_Inventory[[#This Row],[min_res]],Granger_Inventory[[#This Row],[min_res]],ROUND(Granger_Inventory[[#This Row],[adj_res]]*Lookups!$I$45,-2))</f>
        <v>211700</v>
      </c>
      <c r="CB153">
        <f>Granger_Inventory[[#This Row],[final_det]]+Granger_Inventory[[#This Row],[final_res]]</f>
        <v>211700</v>
      </c>
      <c r="CC153">
        <f>Granger_Inventory[[#This Row],[final_land]]+Granger_Inventory[[#This Row],[final_imp]]+Granger_Inventory[[#This Row],[crop_value]]</f>
        <v>228500</v>
      </c>
      <c r="CE153" t="str">
        <f t="shared" si="2"/>
        <v>update valuation set market_land =16800, market_bldg=211700, market_total =228500, market_mdno =402, market_date ='9/10/2023' where link_id = (select link_id from parcel where parcel_year = '2024' and parcel_id = '21101641545');</v>
      </c>
    </row>
    <row r="154" spans="1:83" x14ac:dyDescent="0.25">
      <c r="A154">
        <v>21101641546</v>
      </c>
      <c r="B154">
        <v>0.14000000000000001</v>
      </c>
      <c r="C154">
        <v>6007</v>
      </c>
      <c r="D154" t="s">
        <v>137</v>
      </c>
      <c r="E154" t="s">
        <v>54</v>
      </c>
      <c r="F154" t="s">
        <v>54</v>
      </c>
      <c r="G154">
        <v>3</v>
      </c>
      <c r="H154" t="s">
        <v>55</v>
      </c>
      <c r="I154">
        <v>208000</v>
      </c>
      <c r="J154">
        <v>25900</v>
      </c>
      <c r="K154">
        <v>0.14000000000000001</v>
      </c>
      <c r="L15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4">
        <v>0</v>
      </c>
      <c r="N154">
        <v>0</v>
      </c>
      <c r="O154">
        <v>0</v>
      </c>
      <c r="P154">
        <v>47108.068500000001</v>
      </c>
      <c r="Q154">
        <v>122298</v>
      </c>
      <c r="R154">
        <f>(Granger_Inventory[[#This Row],[ln_acres]]*Granger_Inventory[[#This Row],[coeff]])+Granger_Inventory[[#This Row],[const]]</f>
        <v>29678.220883257934</v>
      </c>
      <c r="S154" t="s">
        <v>69</v>
      </c>
      <c r="T154">
        <v>1</v>
      </c>
      <c r="U154" t="s">
        <v>64</v>
      </c>
      <c r="V154" t="s">
        <v>77</v>
      </c>
      <c r="W154">
        <v>0</v>
      </c>
      <c r="X154">
        <v>0</v>
      </c>
      <c r="Y154">
        <v>16</v>
      </c>
      <c r="Z154">
        <v>16</v>
      </c>
      <c r="AA154">
        <v>20</v>
      </c>
      <c r="AB154">
        <v>1500</v>
      </c>
      <c r="AC154">
        <v>1192</v>
      </c>
      <c r="AD154">
        <v>1192</v>
      </c>
      <c r="AE154">
        <v>0</v>
      </c>
      <c r="AF154">
        <v>0</v>
      </c>
      <c r="AG154">
        <v>0</v>
      </c>
      <c r="AH154">
        <v>0</v>
      </c>
      <c r="AI154">
        <v>264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8</v>
      </c>
      <c r="AQ154">
        <v>0</v>
      </c>
      <c r="AR154">
        <v>0</v>
      </c>
      <c r="AS154" t="s">
        <v>139</v>
      </c>
      <c r="AT154">
        <v>1</v>
      </c>
      <c r="AU154" t="s">
        <v>63</v>
      </c>
      <c r="AV154" t="s">
        <v>65</v>
      </c>
      <c r="AW154">
        <v>1</v>
      </c>
      <c r="AX154">
        <v>3</v>
      </c>
      <c r="AY154">
        <v>0</v>
      </c>
      <c r="AZ154">
        <v>0</v>
      </c>
      <c r="BA154">
        <v>100</v>
      </c>
      <c r="BB154">
        <v>100</v>
      </c>
      <c r="BC154">
        <v>100</v>
      </c>
      <c r="BD154">
        <v>100</v>
      </c>
      <c r="BE154">
        <v>1</v>
      </c>
      <c r="BF154">
        <v>15000</v>
      </c>
      <c r="BG154">
        <v>1000</v>
      </c>
      <c r="BH154" s="8">
        <f>Granger_Inventory[[#This Row],[land_extract]]*Lookups!$B$3</f>
        <v>17680.230269359956</v>
      </c>
      <c r="BI154" s="8">
        <f>IF(Granger_Inventory[[#This Row],[bldg_style]]="",0,Lookups!$B$2)</f>
        <v>29703.559000000001</v>
      </c>
      <c r="BJ154" s="8">
        <f>_xlfn.IFNA(VLOOKUP(Granger_Inventory[[#This Row],[quality]],Lookups!$H$2:$J$14,3,FALSE),0)</f>
        <v>36568</v>
      </c>
      <c r="BK154" s="8">
        <f>_xlfn.IFNA(VLOOKUP(Granger_Inventory[[#This Row],[condition]],Lookups!$H$17:$J$24,3,FALSE),0)</f>
        <v>33736</v>
      </c>
      <c r="BL154" s="8">
        <f>Granger_Inventory[[#This Row],[Age]]*Lookups!$B$16</f>
        <v>-3317.2975999999999</v>
      </c>
      <c r="BM154" s="8">
        <f>Granger_Inventory[[#This Row],[living_area]]*Lookups!$B$17</f>
        <v>80189.307528000005</v>
      </c>
      <c r="BN154" s="8">
        <f>(Granger_Inventory[[#This Row],[att_gar]]+Granger_Inventory[[#This Row],[blt_gar]])*Lookups!$B$18</f>
        <v>12790.162704</v>
      </c>
      <c r="BO154" s="8">
        <f>Granger_Inventory[[#This Row],[Patio]]*Lookups!$B$19</f>
        <v>0</v>
      </c>
      <c r="BP154" s="8">
        <f>SUM(Granger_Inventory[[#This Row],[Intercept]:[Patio_Value]])*Granger_Inventory[[#This Row],[res_pct]]</f>
        <v>189669.73163199998</v>
      </c>
      <c r="BQ154" s="8">
        <f>Granger_Inventory[[#This Row],[land_value]]</f>
        <v>17680.230269359956</v>
      </c>
      <c r="BR154" s="4">
        <f>_xlfn.IFNA(VLOOKUP(Granger_Inventory[[#This Row],[quality]],Lookups!$A$25:$C$35,3,FALSE),1)</f>
        <v>0.99049976351917957</v>
      </c>
      <c r="BS154" s="4">
        <f>_xlfn.IFNA(VLOOKUP(Granger_Inventory[[#This Row],[condition]],Lookups!$A$38:$C$45,3,FALSE),1)</f>
        <v>0.92294678898076177</v>
      </c>
      <c r="BT154" s="4">
        <f>IF(Granger_Inventory[[#This Row],[decade]]="",1,_xlfn.IFNA(VLOOKUP(Granger_Inventory[[#This Row],[decade]],Lookups!$G$28:$I$42,3,FALSE),1))</f>
        <v>1.0159161060824455</v>
      </c>
      <c r="BU154" s="4">
        <f>_xlfn.IFNA(VLOOKUP(Granger_Inventory[[#This Row],[living_area_range]],Lookups!$A$48:$C$57,3,FALSE),1)</f>
        <v>0.97960506760539345</v>
      </c>
      <c r="BV154" s="4">
        <f>AVERAGE(Granger_Inventory[[#This Row],[qual_adj]:[living_range_adj]])</f>
        <v>0.97724193154694516</v>
      </c>
      <c r="BW154" s="8">
        <f>(Granger_Inventory[[#This Row],[sum_land]]-IF(Granger_Inventory[[#This Row],[no_utilities]]=1,12000,0))/IF(Granger_Inventory[[#This Row],[unbuildable]]=1,2,1)</f>
        <v>17680.230269359956</v>
      </c>
      <c r="BX154" s="8">
        <f>Granger_Inventory[[#This Row],[pre_res]]*Granger_Inventory[[#This Row],[overall_adj]]</f>
        <v>185353.21489604638</v>
      </c>
      <c r="BY15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4">
        <f>ROUND(Granger_Inventory[[#This Row],[detatched_value]]*Lookups!$I$45,-2)</f>
        <v>0</v>
      </c>
      <c r="CA154">
        <f>IF(ROUND(Granger_Inventory[[#This Row],[adj_res]]*Lookups!$I$45,-2)&lt;Granger_Inventory[[#This Row],[min_res]],Granger_Inventory[[#This Row],[min_res]],ROUND(Granger_Inventory[[#This Row],[adj_res]]*Lookups!$I$45,-2))</f>
        <v>176100</v>
      </c>
      <c r="CB154">
        <f>Granger_Inventory[[#This Row],[final_det]]+Granger_Inventory[[#This Row],[final_res]]</f>
        <v>176100</v>
      </c>
      <c r="CC154">
        <f>Granger_Inventory[[#This Row],[final_land]]+Granger_Inventory[[#This Row],[final_imp]]+Granger_Inventory[[#This Row],[crop_value]]</f>
        <v>192900</v>
      </c>
      <c r="CE154" t="str">
        <f t="shared" si="2"/>
        <v>update valuation set market_land =16800, market_bldg=176100, market_total =192900, market_mdno =402, market_date ='9/10/2023' where link_id = (select link_id from parcel where parcel_year = '2024' and parcel_id = '21101641546');</v>
      </c>
    </row>
    <row r="155" spans="1:83" x14ac:dyDescent="0.25">
      <c r="A155">
        <v>21101641547</v>
      </c>
      <c r="B155">
        <v>0.14000000000000001</v>
      </c>
      <c r="C155">
        <v>6009</v>
      </c>
      <c r="D155" t="s">
        <v>137</v>
      </c>
      <c r="E155" t="s">
        <v>54</v>
      </c>
      <c r="F155" t="s">
        <v>54</v>
      </c>
      <c r="G155">
        <v>3</v>
      </c>
      <c r="H155" t="s">
        <v>55</v>
      </c>
      <c r="I155">
        <v>218400</v>
      </c>
      <c r="J155">
        <v>25900</v>
      </c>
      <c r="K155">
        <v>0.14000000000000001</v>
      </c>
      <c r="L15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5">
        <v>0</v>
      </c>
      <c r="N155">
        <v>0</v>
      </c>
      <c r="O155">
        <v>0</v>
      </c>
      <c r="P155">
        <v>47108.068500000001</v>
      </c>
      <c r="Q155">
        <v>122298</v>
      </c>
      <c r="R155">
        <f>(Granger_Inventory[[#This Row],[ln_acres]]*Granger_Inventory[[#This Row],[coeff]])+Granger_Inventory[[#This Row],[const]]</f>
        <v>29678.220883257934</v>
      </c>
      <c r="S155" t="s">
        <v>69</v>
      </c>
      <c r="T155">
        <v>1</v>
      </c>
      <c r="U155" t="s">
        <v>64</v>
      </c>
      <c r="V155" t="s">
        <v>72</v>
      </c>
      <c r="W155">
        <v>0</v>
      </c>
      <c r="X155">
        <v>0</v>
      </c>
      <c r="Y155">
        <v>16</v>
      </c>
      <c r="Z155">
        <v>16</v>
      </c>
      <c r="AA155">
        <v>20</v>
      </c>
      <c r="AB155">
        <v>1500</v>
      </c>
      <c r="AC155">
        <v>1192</v>
      </c>
      <c r="AD155">
        <v>1192</v>
      </c>
      <c r="AE155">
        <v>0</v>
      </c>
      <c r="AF155">
        <v>0</v>
      </c>
      <c r="AG155">
        <v>0</v>
      </c>
      <c r="AH155">
        <v>0</v>
      </c>
      <c r="AI155">
        <v>264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8</v>
      </c>
      <c r="AQ155">
        <v>0</v>
      </c>
      <c r="AR155">
        <v>0</v>
      </c>
      <c r="AS155" t="s">
        <v>59</v>
      </c>
      <c r="AT155">
        <v>1</v>
      </c>
      <c r="AU155" t="s">
        <v>63</v>
      </c>
      <c r="AV155" t="s">
        <v>65</v>
      </c>
      <c r="AW155">
        <v>1</v>
      </c>
      <c r="AX155">
        <v>3</v>
      </c>
      <c r="AY155">
        <v>0</v>
      </c>
      <c r="AZ155">
        <v>0</v>
      </c>
      <c r="BA155">
        <v>100</v>
      </c>
      <c r="BB155">
        <v>100</v>
      </c>
      <c r="BC155">
        <v>100</v>
      </c>
      <c r="BD155">
        <v>100</v>
      </c>
      <c r="BE155">
        <v>1</v>
      </c>
      <c r="BF155">
        <v>15000</v>
      </c>
      <c r="BG155">
        <v>1000</v>
      </c>
      <c r="BH155" s="8">
        <f>Granger_Inventory[[#This Row],[land_extract]]*Lookups!$B$3</f>
        <v>17680.230269359956</v>
      </c>
      <c r="BI155" s="8">
        <f>IF(Granger_Inventory[[#This Row],[bldg_style]]="",0,Lookups!$B$2)</f>
        <v>29703.559000000001</v>
      </c>
      <c r="BJ155" s="8">
        <f>_xlfn.IFNA(VLOOKUP(Granger_Inventory[[#This Row],[quality]],Lookups!$H$2:$J$14,3,FALSE),0)</f>
        <v>36568</v>
      </c>
      <c r="BK155" s="8">
        <f>_xlfn.IFNA(VLOOKUP(Granger_Inventory[[#This Row],[condition]],Lookups!$H$17:$J$24,3,FALSE),0)</f>
        <v>94106</v>
      </c>
      <c r="BL155" s="8">
        <f>Granger_Inventory[[#This Row],[Age]]*Lookups!$B$16</f>
        <v>-3317.2975999999999</v>
      </c>
      <c r="BM155" s="8">
        <f>Granger_Inventory[[#This Row],[living_area]]*Lookups!$B$17</f>
        <v>80189.307528000005</v>
      </c>
      <c r="BN155" s="8">
        <f>(Granger_Inventory[[#This Row],[att_gar]]+Granger_Inventory[[#This Row],[blt_gar]])*Lookups!$B$18</f>
        <v>12790.162704</v>
      </c>
      <c r="BO155" s="8">
        <f>Granger_Inventory[[#This Row],[Patio]]*Lookups!$B$19</f>
        <v>0</v>
      </c>
      <c r="BP155" s="8">
        <f>SUM(Granger_Inventory[[#This Row],[Intercept]:[Patio_Value]])*Granger_Inventory[[#This Row],[res_pct]]</f>
        <v>250039.73163200001</v>
      </c>
      <c r="BQ155" s="8">
        <f>Granger_Inventory[[#This Row],[land_value]]</f>
        <v>17680.230269359956</v>
      </c>
      <c r="BR155" s="4">
        <f>_xlfn.IFNA(VLOOKUP(Granger_Inventory[[#This Row],[quality]],Lookups!$A$25:$C$35,3,FALSE),1)</f>
        <v>0.99049976351917957</v>
      </c>
      <c r="BS155" s="4">
        <f>_xlfn.IFNA(VLOOKUP(Granger_Inventory[[#This Row],[condition]],Lookups!$A$38:$C$45,3,FALSE),1)</f>
        <v>0.98658583151544277</v>
      </c>
      <c r="BT155" s="4">
        <f>IF(Granger_Inventory[[#This Row],[decade]]="",1,_xlfn.IFNA(VLOOKUP(Granger_Inventory[[#This Row],[decade]],Lookups!$G$28:$I$42,3,FALSE),1))</f>
        <v>1.0159161060824455</v>
      </c>
      <c r="BU155" s="4">
        <f>_xlfn.IFNA(VLOOKUP(Granger_Inventory[[#This Row],[living_area_range]],Lookups!$A$48:$C$57,3,FALSE),1)</f>
        <v>0.97960506760539345</v>
      </c>
      <c r="BV155" s="4">
        <f>AVERAGE(Granger_Inventory[[#This Row],[qual_adj]:[living_range_adj]])</f>
        <v>0.99315169218061539</v>
      </c>
      <c r="BW155" s="8">
        <f>(Granger_Inventory[[#This Row],[sum_land]]-IF(Granger_Inventory[[#This Row],[no_utilities]]=1,12000,0))/IF(Granger_Inventory[[#This Row],[unbuildable]]=1,2,1)</f>
        <v>17680.230269359956</v>
      </c>
      <c r="BX155" s="8">
        <f>Granger_Inventory[[#This Row],[pre_res]]*Granger_Inventory[[#This Row],[overall_adj]]</f>
        <v>248327.38258270777</v>
      </c>
      <c r="BY15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5">
        <f>ROUND(Granger_Inventory[[#This Row],[detatched_value]]*Lookups!$I$45,-2)</f>
        <v>0</v>
      </c>
      <c r="CA155">
        <f>IF(ROUND(Granger_Inventory[[#This Row],[adj_res]]*Lookups!$I$45,-2)&lt;Granger_Inventory[[#This Row],[min_res]],Granger_Inventory[[#This Row],[min_res]],ROUND(Granger_Inventory[[#This Row],[adj_res]]*Lookups!$I$45,-2))</f>
        <v>235900</v>
      </c>
      <c r="CB155">
        <f>Granger_Inventory[[#This Row],[final_det]]+Granger_Inventory[[#This Row],[final_res]]</f>
        <v>235900</v>
      </c>
      <c r="CC155">
        <f>Granger_Inventory[[#This Row],[final_land]]+Granger_Inventory[[#This Row],[final_imp]]+Granger_Inventory[[#This Row],[crop_value]]</f>
        <v>252700</v>
      </c>
      <c r="CE155" t="str">
        <f t="shared" si="2"/>
        <v>update valuation set market_land =16800, market_bldg=235900, market_total =252700, market_mdno =402, market_date ='9/10/2023' where link_id = (select link_id from parcel where parcel_year = '2024' and parcel_id = '21101641547');</v>
      </c>
    </row>
    <row r="156" spans="1:83" x14ac:dyDescent="0.25">
      <c r="A156">
        <v>21101641548</v>
      </c>
      <c r="B156">
        <v>0.16</v>
      </c>
      <c r="C156">
        <v>6937</v>
      </c>
      <c r="D156" t="s">
        <v>137</v>
      </c>
      <c r="E156" t="s">
        <v>54</v>
      </c>
      <c r="F156" t="s">
        <v>54</v>
      </c>
      <c r="G156">
        <v>3</v>
      </c>
      <c r="H156" t="s">
        <v>55</v>
      </c>
      <c r="I156">
        <v>223900</v>
      </c>
      <c r="J156">
        <v>26700</v>
      </c>
      <c r="K156">
        <v>0.16</v>
      </c>
      <c r="L15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156">
        <v>0</v>
      </c>
      <c r="N156">
        <v>0</v>
      </c>
      <c r="O156">
        <v>0</v>
      </c>
      <c r="P156">
        <v>47108.068500000001</v>
      </c>
      <c r="Q156">
        <v>122298</v>
      </c>
      <c r="R156">
        <f>(Granger_Inventory[[#This Row],[ln_acres]]*Granger_Inventory[[#This Row],[coeff]])+Granger_Inventory[[#This Row],[const]]</f>
        <v>35968.626873914327</v>
      </c>
      <c r="S156" t="s">
        <v>62</v>
      </c>
      <c r="T156">
        <v>1</v>
      </c>
      <c r="U156" t="s">
        <v>64</v>
      </c>
      <c r="V156" t="s">
        <v>72</v>
      </c>
      <c r="W156">
        <v>0</v>
      </c>
      <c r="X156">
        <v>0</v>
      </c>
      <c r="Y156">
        <v>15</v>
      </c>
      <c r="Z156">
        <v>15</v>
      </c>
      <c r="AA156">
        <v>20</v>
      </c>
      <c r="AB156">
        <v>1500</v>
      </c>
      <c r="AC156">
        <v>1204</v>
      </c>
      <c r="AD156">
        <v>1204</v>
      </c>
      <c r="AE156">
        <v>0</v>
      </c>
      <c r="AF156">
        <v>0</v>
      </c>
      <c r="AG156">
        <v>0</v>
      </c>
      <c r="AH156">
        <v>0</v>
      </c>
      <c r="AI156">
        <v>252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8</v>
      </c>
      <c r="AQ156">
        <v>0</v>
      </c>
      <c r="AR156">
        <v>0</v>
      </c>
      <c r="AS156" t="s">
        <v>59</v>
      </c>
      <c r="AT156">
        <v>1</v>
      </c>
      <c r="AU156" t="s">
        <v>63</v>
      </c>
      <c r="AV156" t="s">
        <v>65</v>
      </c>
      <c r="AW156">
        <v>1</v>
      </c>
      <c r="AX156">
        <v>3</v>
      </c>
      <c r="AY156">
        <v>0</v>
      </c>
      <c r="AZ156">
        <v>0</v>
      </c>
      <c r="BA156">
        <v>100</v>
      </c>
      <c r="BB156">
        <v>100</v>
      </c>
      <c r="BC156">
        <v>100</v>
      </c>
      <c r="BD156">
        <v>100</v>
      </c>
      <c r="BE156">
        <v>1</v>
      </c>
      <c r="BF156">
        <v>15000</v>
      </c>
      <c r="BG156">
        <v>1000</v>
      </c>
      <c r="BH156" s="8">
        <f>Granger_Inventory[[#This Row],[land_extract]]*Lookups!$B$3</f>
        <v>21427.618862498482</v>
      </c>
      <c r="BI156" s="8">
        <f>IF(Granger_Inventory[[#This Row],[bldg_style]]="",0,Lookups!$B$2)</f>
        <v>29703.559000000001</v>
      </c>
      <c r="BJ156" s="8">
        <f>_xlfn.IFNA(VLOOKUP(Granger_Inventory[[#This Row],[quality]],Lookups!$H$2:$J$14,3,FALSE),0)</f>
        <v>36568</v>
      </c>
      <c r="BK156" s="8">
        <f>_xlfn.IFNA(VLOOKUP(Granger_Inventory[[#This Row],[condition]],Lookups!$H$17:$J$24,3,FALSE),0)</f>
        <v>94106</v>
      </c>
      <c r="BL156" s="8">
        <f>Granger_Inventory[[#This Row],[Age]]*Lookups!$B$16</f>
        <v>-3109.9665</v>
      </c>
      <c r="BM156" s="8">
        <f>Granger_Inventory[[#This Row],[living_area]]*Lookups!$B$17</f>
        <v>80996.582435999997</v>
      </c>
      <c r="BN156" s="8">
        <f>(Granger_Inventory[[#This Row],[att_gar]]+Granger_Inventory[[#This Row],[blt_gar]])*Lookups!$B$18</f>
        <v>12208.791671999999</v>
      </c>
      <c r="BO156" s="8">
        <f>Granger_Inventory[[#This Row],[Patio]]*Lookups!$B$19</f>
        <v>0</v>
      </c>
      <c r="BP156" s="8">
        <f>SUM(Granger_Inventory[[#This Row],[Intercept]:[Patio_Value]])*Granger_Inventory[[#This Row],[res_pct]]</f>
        <v>250472.96660799999</v>
      </c>
      <c r="BQ156" s="8">
        <f>Granger_Inventory[[#This Row],[land_value]]</f>
        <v>21427.618862498482</v>
      </c>
      <c r="BR156" s="4">
        <f>_xlfn.IFNA(VLOOKUP(Granger_Inventory[[#This Row],[quality]],Lookups!$A$25:$C$35,3,FALSE),1)</f>
        <v>0.99049976351917957</v>
      </c>
      <c r="BS156" s="4">
        <f>_xlfn.IFNA(VLOOKUP(Granger_Inventory[[#This Row],[condition]],Lookups!$A$38:$C$45,3,FALSE),1)</f>
        <v>0.98658583151544277</v>
      </c>
      <c r="BT156" s="4">
        <f>IF(Granger_Inventory[[#This Row],[decade]]="",1,_xlfn.IFNA(VLOOKUP(Granger_Inventory[[#This Row],[decade]],Lookups!$G$28:$I$42,3,FALSE),1))</f>
        <v>1.0159161060824455</v>
      </c>
      <c r="BU156" s="4">
        <f>_xlfn.IFNA(VLOOKUP(Granger_Inventory[[#This Row],[living_area_range]],Lookups!$A$48:$C$57,3,FALSE),1)</f>
        <v>0.97960506760539345</v>
      </c>
      <c r="BV156" s="4">
        <f>AVERAGE(Granger_Inventory[[#This Row],[qual_adj]:[living_range_adj]])</f>
        <v>0.99315169218061539</v>
      </c>
      <c r="BW156" s="8">
        <f>(Granger_Inventory[[#This Row],[sum_land]]-IF(Granger_Inventory[[#This Row],[no_utilities]]=1,12000,0))/IF(Granger_Inventory[[#This Row],[unbuildable]]=1,2,1)</f>
        <v>21427.618862498482</v>
      </c>
      <c r="BX156" s="8">
        <f>Granger_Inventory[[#This Row],[pre_res]]*Granger_Inventory[[#This Row],[overall_adj]]</f>
        <v>248757.65063223397</v>
      </c>
      <c r="BY15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156">
        <f>ROUND(Granger_Inventory[[#This Row],[detatched_value]]*Lookups!$I$45,-2)</f>
        <v>0</v>
      </c>
      <c r="CA156">
        <f>IF(ROUND(Granger_Inventory[[#This Row],[adj_res]]*Lookups!$I$45,-2)&lt;Granger_Inventory[[#This Row],[min_res]],Granger_Inventory[[#This Row],[min_res]],ROUND(Granger_Inventory[[#This Row],[adj_res]]*Lookups!$I$45,-2))</f>
        <v>236300</v>
      </c>
      <c r="CB156">
        <f>Granger_Inventory[[#This Row],[final_det]]+Granger_Inventory[[#This Row],[final_res]]</f>
        <v>236300</v>
      </c>
      <c r="CC156">
        <f>Granger_Inventory[[#This Row],[final_land]]+Granger_Inventory[[#This Row],[final_imp]]+Granger_Inventory[[#This Row],[crop_value]]</f>
        <v>256700</v>
      </c>
      <c r="CE156" t="str">
        <f t="shared" si="2"/>
        <v>update valuation set market_land =20400, market_bldg=236300, market_total =256700, market_mdno =402, market_date ='9/10/2023' where link_id = (select link_id from parcel where parcel_year = '2024' and parcel_id = '21101641548');</v>
      </c>
    </row>
    <row r="157" spans="1:83" x14ac:dyDescent="0.25">
      <c r="A157">
        <v>21101641549</v>
      </c>
      <c r="B157">
        <v>0.15</v>
      </c>
      <c r="C157">
        <v>6656</v>
      </c>
      <c r="D157" t="s">
        <v>137</v>
      </c>
      <c r="E157" t="s">
        <v>54</v>
      </c>
      <c r="F157" t="s">
        <v>54</v>
      </c>
      <c r="G157">
        <v>3</v>
      </c>
      <c r="H157" t="s">
        <v>55</v>
      </c>
      <c r="I157">
        <v>208400</v>
      </c>
      <c r="J157">
        <v>26300</v>
      </c>
      <c r="K157">
        <v>0.15</v>
      </c>
      <c r="L15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57">
        <v>0</v>
      </c>
      <c r="N157">
        <v>0</v>
      </c>
      <c r="O157">
        <v>0</v>
      </c>
      <c r="P157">
        <v>47108.068500000001</v>
      </c>
      <c r="Q157">
        <v>122298</v>
      </c>
      <c r="R157">
        <f>(Granger_Inventory[[#This Row],[ln_acres]]*Granger_Inventory[[#This Row],[coeff]])+Granger_Inventory[[#This Row],[const]]</f>
        <v>32928.341799276939</v>
      </c>
      <c r="S157" t="s">
        <v>69</v>
      </c>
      <c r="T157">
        <v>1</v>
      </c>
      <c r="U157" t="s">
        <v>71</v>
      </c>
      <c r="V157" t="s">
        <v>72</v>
      </c>
      <c r="W157">
        <v>0</v>
      </c>
      <c r="X157">
        <v>0</v>
      </c>
      <c r="Y157">
        <v>15</v>
      </c>
      <c r="Z157">
        <v>15</v>
      </c>
      <c r="AA157">
        <v>20</v>
      </c>
      <c r="AB157">
        <v>1500</v>
      </c>
      <c r="AC157">
        <v>1204</v>
      </c>
      <c r="AD157">
        <v>1204</v>
      </c>
      <c r="AE157">
        <v>0</v>
      </c>
      <c r="AF157">
        <v>0</v>
      </c>
      <c r="AG157">
        <v>0</v>
      </c>
      <c r="AH157">
        <v>0</v>
      </c>
      <c r="AI157">
        <v>252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8</v>
      </c>
      <c r="AQ157">
        <v>0</v>
      </c>
      <c r="AR157">
        <v>0</v>
      </c>
      <c r="AS157" t="s">
        <v>59</v>
      </c>
      <c r="AT157">
        <v>1</v>
      </c>
      <c r="AU157" t="s">
        <v>63</v>
      </c>
      <c r="AV157" t="s">
        <v>65</v>
      </c>
      <c r="AW157">
        <v>1</v>
      </c>
      <c r="AX157">
        <v>3</v>
      </c>
      <c r="AY157">
        <v>0</v>
      </c>
      <c r="AZ157">
        <v>0</v>
      </c>
      <c r="BA157">
        <v>100</v>
      </c>
      <c r="BB157">
        <v>100</v>
      </c>
      <c r="BC157">
        <v>100</v>
      </c>
      <c r="BD157">
        <v>100</v>
      </c>
      <c r="BE157">
        <v>1</v>
      </c>
      <c r="BF157">
        <v>15000</v>
      </c>
      <c r="BG157">
        <v>1000</v>
      </c>
      <c r="BH157" s="8">
        <f>Granger_Inventory[[#This Row],[land_extract]]*Lookups!$B$3</f>
        <v>19616.42740275669</v>
      </c>
      <c r="BI157" s="8">
        <f>IF(Granger_Inventory[[#This Row],[bldg_style]]="",0,Lookups!$B$2)</f>
        <v>29703.559000000001</v>
      </c>
      <c r="BJ157" s="8">
        <f>_xlfn.IFNA(VLOOKUP(Granger_Inventory[[#This Row],[quality]],Lookups!$H$2:$J$14,3,FALSE),0)</f>
        <v>34195</v>
      </c>
      <c r="BK157" s="8">
        <f>_xlfn.IFNA(VLOOKUP(Granger_Inventory[[#This Row],[condition]],Lookups!$H$17:$J$24,3,FALSE),0)</f>
        <v>94106</v>
      </c>
      <c r="BL157" s="8">
        <f>Granger_Inventory[[#This Row],[Age]]*Lookups!$B$16</f>
        <v>-3109.9665</v>
      </c>
      <c r="BM157" s="8">
        <f>Granger_Inventory[[#This Row],[living_area]]*Lookups!$B$17</f>
        <v>80996.582435999997</v>
      </c>
      <c r="BN157" s="8">
        <f>(Granger_Inventory[[#This Row],[att_gar]]+Granger_Inventory[[#This Row],[blt_gar]])*Lookups!$B$18</f>
        <v>12208.791671999999</v>
      </c>
      <c r="BO157" s="8">
        <f>Granger_Inventory[[#This Row],[Patio]]*Lookups!$B$19</f>
        <v>0</v>
      </c>
      <c r="BP157" s="8">
        <f>SUM(Granger_Inventory[[#This Row],[Intercept]:[Patio_Value]])*Granger_Inventory[[#This Row],[res_pct]]</f>
        <v>248099.96660799999</v>
      </c>
      <c r="BQ157" s="8">
        <f>Granger_Inventory[[#This Row],[land_value]]</f>
        <v>19616.42740275669</v>
      </c>
      <c r="BR157" s="4">
        <f>_xlfn.IFNA(VLOOKUP(Granger_Inventory[[#This Row],[quality]],Lookups!$A$25:$C$35,3,FALSE),1)</f>
        <v>0.98258795897788032</v>
      </c>
      <c r="BS157" s="4">
        <f>_xlfn.IFNA(VLOOKUP(Granger_Inventory[[#This Row],[condition]],Lookups!$A$38:$C$45,3,FALSE),1)</f>
        <v>0.98658583151544277</v>
      </c>
      <c r="BT157" s="4">
        <f>IF(Granger_Inventory[[#This Row],[decade]]="",1,_xlfn.IFNA(VLOOKUP(Granger_Inventory[[#This Row],[decade]],Lookups!$G$28:$I$42,3,FALSE),1))</f>
        <v>1.0159161060824455</v>
      </c>
      <c r="BU157" s="4">
        <f>_xlfn.IFNA(VLOOKUP(Granger_Inventory[[#This Row],[living_area_range]],Lookups!$A$48:$C$57,3,FALSE),1)</f>
        <v>0.97960506760539345</v>
      </c>
      <c r="BV157" s="4">
        <f>AVERAGE(Granger_Inventory[[#This Row],[qual_adj]:[living_range_adj]])</f>
        <v>0.99117374104529055</v>
      </c>
      <c r="BW157" s="8">
        <f>(Granger_Inventory[[#This Row],[sum_land]]-IF(Granger_Inventory[[#This Row],[no_utilities]]=1,12000,0))/IF(Granger_Inventory[[#This Row],[unbuildable]]=1,2,1)</f>
        <v>19616.42740275669</v>
      </c>
      <c r="BX157" s="8">
        <f>Granger_Inventory[[#This Row],[pre_res]]*Granger_Inventory[[#This Row],[overall_adj]]</f>
        <v>245910.17205606302</v>
      </c>
      <c r="BY15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57">
        <f>ROUND(Granger_Inventory[[#This Row],[detatched_value]]*Lookups!$I$45,-2)</f>
        <v>0</v>
      </c>
      <c r="CA157">
        <f>IF(ROUND(Granger_Inventory[[#This Row],[adj_res]]*Lookups!$I$45,-2)&lt;Granger_Inventory[[#This Row],[min_res]],Granger_Inventory[[#This Row],[min_res]],ROUND(Granger_Inventory[[#This Row],[adj_res]]*Lookups!$I$45,-2))</f>
        <v>233600</v>
      </c>
      <c r="CB157">
        <f>Granger_Inventory[[#This Row],[final_det]]+Granger_Inventory[[#This Row],[final_res]]</f>
        <v>233600</v>
      </c>
      <c r="CC157">
        <f>Granger_Inventory[[#This Row],[final_land]]+Granger_Inventory[[#This Row],[final_imp]]+Granger_Inventory[[#This Row],[crop_value]]</f>
        <v>252200</v>
      </c>
      <c r="CE157" t="str">
        <f t="shared" si="2"/>
        <v>update valuation set market_land =18600, market_bldg=233600, market_total =252200, market_mdno =402, market_date ='9/10/2023' where link_id = (select link_id from parcel where parcel_year = '2024' and parcel_id = '21101641549');</v>
      </c>
    </row>
    <row r="158" spans="1:83" x14ac:dyDescent="0.25">
      <c r="A158">
        <v>21101641550</v>
      </c>
      <c r="B158">
        <v>0.16</v>
      </c>
      <c r="C158">
        <v>6753</v>
      </c>
      <c r="D158" t="s">
        <v>137</v>
      </c>
      <c r="E158" t="s">
        <v>54</v>
      </c>
      <c r="F158" t="s">
        <v>54</v>
      </c>
      <c r="G158">
        <v>3</v>
      </c>
      <c r="H158" t="s">
        <v>55</v>
      </c>
      <c r="I158">
        <v>189100</v>
      </c>
      <c r="J158">
        <v>26700</v>
      </c>
      <c r="K158">
        <v>0.16</v>
      </c>
      <c r="L15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158">
        <v>0</v>
      </c>
      <c r="N158">
        <v>0</v>
      </c>
      <c r="O158">
        <v>0</v>
      </c>
      <c r="P158">
        <v>47108.068500000001</v>
      </c>
      <c r="Q158">
        <v>122298</v>
      </c>
      <c r="R158">
        <f>(Granger_Inventory[[#This Row],[ln_acres]]*Granger_Inventory[[#This Row],[coeff]])+Granger_Inventory[[#This Row],[const]]</f>
        <v>35968.626873914327</v>
      </c>
      <c r="S158" t="s">
        <v>69</v>
      </c>
      <c r="T158">
        <v>1</v>
      </c>
      <c r="U158" t="s">
        <v>71</v>
      </c>
      <c r="V158" t="s">
        <v>72</v>
      </c>
      <c r="W158">
        <v>0</v>
      </c>
      <c r="X158">
        <v>0</v>
      </c>
      <c r="Y158">
        <v>16</v>
      </c>
      <c r="Z158">
        <v>16</v>
      </c>
      <c r="AA158">
        <v>20</v>
      </c>
      <c r="AB158">
        <v>1500</v>
      </c>
      <c r="AC158">
        <v>1152</v>
      </c>
      <c r="AD158">
        <v>1152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384</v>
      </c>
      <c r="AM158">
        <v>0</v>
      </c>
      <c r="AN158">
        <v>0</v>
      </c>
      <c r="AO158">
        <v>0</v>
      </c>
      <c r="AP158">
        <v>9</v>
      </c>
      <c r="AQ158">
        <v>0</v>
      </c>
      <c r="AR158">
        <v>0</v>
      </c>
      <c r="AS158" t="s">
        <v>59</v>
      </c>
      <c r="AT158">
        <v>1</v>
      </c>
      <c r="AU158" t="s">
        <v>63</v>
      </c>
      <c r="AV158" t="s">
        <v>65</v>
      </c>
      <c r="AW158">
        <v>1</v>
      </c>
      <c r="AX158">
        <v>3</v>
      </c>
      <c r="AY158">
        <v>0</v>
      </c>
      <c r="AZ158">
        <v>0</v>
      </c>
      <c r="BA158">
        <v>100</v>
      </c>
      <c r="BB158">
        <v>100</v>
      </c>
      <c r="BC158">
        <v>100</v>
      </c>
      <c r="BD158">
        <v>100</v>
      </c>
      <c r="BE158">
        <v>1</v>
      </c>
      <c r="BF158">
        <v>15000</v>
      </c>
      <c r="BG158">
        <v>1000</v>
      </c>
      <c r="BH158" s="8">
        <f>Granger_Inventory[[#This Row],[land_extract]]*Lookups!$B$3</f>
        <v>21427.618862498482</v>
      </c>
      <c r="BI158" s="8">
        <f>IF(Granger_Inventory[[#This Row],[bldg_style]]="",0,Lookups!$B$2)</f>
        <v>29703.559000000001</v>
      </c>
      <c r="BJ158" s="8">
        <f>_xlfn.IFNA(VLOOKUP(Granger_Inventory[[#This Row],[quality]],Lookups!$H$2:$J$14,3,FALSE),0)</f>
        <v>34195</v>
      </c>
      <c r="BK158" s="8">
        <f>_xlfn.IFNA(VLOOKUP(Granger_Inventory[[#This Row],[condition]],Lookups!$H$17:$J$24,3,FALSE),0)</f>
        <v>94106</v>
      </c>
      <c r="BL158" s="8">
        <f>Granger_Inventory[[#This Row],[Age]]*Lookups!$B$16</f>
        <v>-3317.2975999999999</v>
      </c>
      <c r="BM158" s="8">
        <f>Granger_Inventory[[#This Row],[living_area]]*Lookups!$B$17</f>
        <v>77498.391168000002</v>
      </c>
      <c r="BN158" s="8">
        <f>(Granger_Inventory[[#This Row],[att_gar]]+Granger_Inventory[[#This Row],[blt_gar]])*Lookups!$B$18</f>
        <v>0</v>
      </c>
      <c r="BO158" s="8">
        <f>Granger_Inventory[[#This Row],[Patio]]*Lookups!$B$19</f>
        <v>0</v>
      </c>
      <c r="BP158" s="8">
        <f>SUM(Granger_Inventory[[#This Row],[Intercept]:[Patio_Value]])*Granger_Inventory[[#This Row],[res_pct]]</f>
        <v>232185.65256800002</v>
      </c>
      <c r="BQ158" s="8">
        <f>Granger_Inventory[[#This Row],[land_value]]</f>
        <v>21427.618862498482</v>
      </c>
      <c r="BR158" s="4">
        <f>_xlfn.IFNA(VLOOKUP(Granger_Inventory[[#This Row],[quality]],Lookups!$A$25:$C$35,3,FALSE),1)</f>
        <v>0.98258795897788032</v>
      </c>
      <c r="BS158" s="4">
        <f>_xlfn.IFNA(VLOOKUP(Granger_Inventory[[#This Row],[condition]],Lookups!$A$38:$C$45,3,FALSE),1)</f>
        <v>0.98658583151544277</v>
      </c>
      <c r="BT158" s="4">
        <f>IF(Granger_Inventory[[#This Row],[decade]]="",1,_xlfn.IFNA(VLOOKUP(Granger_Inventory[[#This Row],[decade]],Lookups!$G$28:$I$42,3,FALSE),1))</f>
        <v>1.0159161060824455</v>
      </c>
      <c r="BU158" s="4">
        <f>_xlfn.IFNA(VLOOKUP(Granger_Inventory[[#This Row],[living_area_range]],Lookups!$A$48:$C$57,3,FALSE),1)</f>
        <v>0.97960506760539345</v>
      </c>
      <c r="BV158" s="4">
        <f>AVERAGE(Granger_Inventory[[#This Row],[qual_adj]:[living_range_adj]])</f>
        <v>0.99117374104529055</v>
      </c>
      <c r="BW158" s="8">
        <f>(Granger_Inventory[[#This Row],[sum_land]]-IF(Granger_Inventory[[#This Row],[no_utilities]]=1,12000,0))/IF(Granger_Inventory[[#This Row],[unbuildable]]=1,2,1)</f>
        <v>21427.618862498482</v>
      </c>
      <c r="BX158" s="8">
        <f>Granger_Inventory[[#This Row],[pre_res]]*Granger_Inventory[[#This Row],[overall_adj]]</f>
        <v>230136.32187286665</v>
      </c>
      <c r="BY15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158">
        <f>ROUND(Granger_Inventory[[#This Row],[detatched_value]]*Lookups!$I$45,-2)</f>
        <v>0</v>
      </c>
      <c r="CA158">
        <f>IF(ROUND(Granger_Inventory[[#This Row],[adj_res]]*Lookups!$I$45,-2)&lt;Granger_Inventory[[#This Row],[min_res]],Granger_Inventory[[#This Row],[min_res]],ROUND(Granger_Inventory[[#This Row],[adj_res]]*Lookups!$I$45,-2))</f>
        <v>218600</v>
      </c>
      <c r="CB158">
        <f>Granger_Inventory[[#This Row],[final_det]]+Granger_Inventory[[#This Row],[final_res]]</f>
        <v>218600</v>
      </c>
      <c r="CC158">
        <f>Granger_Inventory[[#This Row],[final_land]]+Granger_Inventory[[#This Row],[final_imp]]+Granger_Inventory[[#This Row],[crop_value]]</f>
        <v>239000</v>
      </c>
      <c r="CE158" t="str">
        <f t="shared" si="2"/>
        <v>update valuation set market_land =20400, market_bldg=218600, market_total =239000, market_mdno =402, market_date ='9/10/2023' where link_id = (select link_id from parcel where parcel_year = '2024' and parcel_id = '21101641550');</v>
      </c>
    </row>
    <row r="159" spans="1:83" x14ac:dyDescent="0.25">
      <c r="A159">
        <v>21101641552</v>
      </c>
      <c r="B159">
        <v>0.14000000000000001</v>
      </c>
      <c r="C159">
        <v>6168</v>
      </c>
      <c r="D159" t="s">
        <v>137</v>
      </c>
      <c r="E159" t="s">
        <v>54</v>
      </c>
      <c r="F159" t="s">
        <v>54</v>
      </c>
      <c r="G159">
        <v>3</v>
      </c>
      <c r="H159" t="s">
        <v>55</v>
      </c>
      <c r="I159">
        <v>207500</v>
      </c>
      <c r="J159">
        <v>25900</v>
      </c>
      <c r="K159">
        <v>0.14000000000000001</v>
      </c>
      <c r="L15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59">
        <v>0</v>
      </c>
      <c r="N159">
        <v>0</v>
      </c>
      <c r="O159">
        <v>0</v>
      </c>
      <c r="P159">
        <v>47108.068500000001</v>
      </c>
      <c r="Q159">
        <v>122298</v>
      </c>
      <c r="R159">
        <f>(Granger_Inventory[[#This Row],[ln_acres]]*Granger_Inventory[[#This Row],[coeff]])+Granger_Inventory[[#This Row],[const]]</f>
        <v>29678.220883257934</v>
      </c>
      <c r="S159" t="s">
        <v>69</v>
      </c>
      <c r="T159">
        <v>1</v>
      </c>
      <c r="U159" t="s">
        <v>71</v>
      </c>
      <c r="V159" t="s">
        <v>70</v>
      </c>
      <c r="W159">
        <v>0</v>
      </c>
      <c r="X159">
        <v>0</v>
      </c>
      <c r="Y159">
        <v>10</v>
      </c>
      <c r="Z159">
        <v>10</v>
      </c>
      <c r="AA159">
        <v>10</v>
      </c>
      <c r="AB159">
        <v>1500</v>
      </c>
      <c r="AC159">
        <v>1200</v>
      </c>
      <c r="AD159">
        <v>1200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5</v>
      </c>
      <c r="AQ159">
        <v>0</v>
      </c>
      <c r="AR159">
        <v>0</v>
      </c>
      <c r="AS159" t="s">
        <v>59</v>
      </c>
      <c r="AT159">
        <v>1</v>
      </c>
      <c r="AU159" t="s">
        <v>68</v>
      </c>
      <c r="AV159" t="s">
        <v>65</v>
      </c>
      <c r="AW159">
        <v>0</v>
      </c>
      <c r="AX159">
        <v>3</v>
      </c>
      <c r="AY159">
        <v>0</v>
      </c>
      <c r="AZ159">
        <v>0</v>
      </c>
      <c r="BA159">
        <v>100</v>
      </c>
      <c r="BB159">
        <v>100</v>
      </c>
      <c r="BC159">
        <v>100</v>
      </c>
      <c r="BD159">
        <v>100</v>
      </c>
      <c r="BE159">
        <v>1</v>
      </c>
      <c r="BF159">
        <v>15000</v>
      </c>
      <c r="BG159">
        <v>1000</v>
      </c>
      <c r="BH159" s="8">
        <f>Granger_Inventory[[#This Row],[land_extract]]*Lookups!$B$3</f>
        <v>17680.230269359956</v>
      </c>
      <c r="BI159" s="8">
        <f>IF(Granger_Inventory[[#This Row],[bldg_style]]="",0,Lookups!$B$2)</f>
        <v>29703.559000000001</v>
      </c>
      <c r="BJ159" s="8">
        <f>_xlfn.IFNA(VLOOKUP(Granger_Inventory[[#This Row],[quality]],Lookups!$H$2:$J$14,3,FALSE),0)</f>
        <v>34195</v>
      </c>
      <c r="BK159" s="8">
        <f>_xlfn.IFNA(VLOOKUP(Granger_Inventory[[#This Row],[condition]],Lookups!$H$17:$J$24,3,FALSE),0)</f>
        <v>80695</v>
      </c>
      <c r="BL159" s="8">
        <f>Granger_Inventory[[#This Row],[Age]]*Lookups!$B$16</f>
        <v>-2073.3109999999997</v>
      </c>
      <c r="BM159" s="8">
        <f>Granger_Inventory[[#This Row],[living_area]]*Lookups!$B$17</f>
        <v>80727.4908</v>
      </c>
      <c r="BN159" s="8">
        <f>(Granger_Inventory[[#This Row],[att_gar]]+Granger_Inventory[[#This Row],[blt_gar]])*Lookups!$B$18</f>
        <v>0</v>
      </c>
      <c r="BO159" s="8">
        <f>Granger_Inventory[[#This Row],[Patio]]*Lookups!$B$19</f>
        <v>0</v>
      </c>
      <c r="BP159" s="8">
        <f>SUM(Granger_Inventory[[#This Row],[Intercept]:[Patio_Value]])*Granger_Inventory[[#This Row],[res_pct]]</f>
        <v>223247.73880000002</v>
      </c>
      <c r="BQ159" s="8">
        <f>Granger_Inventory[[#This Row],[land_value]]</f>
        <v>17680.230269359956</v>
      </c>
      <c r="BR159" s="4">
        <f>_xlfn.IFNA(VLOOKUP(Granger_Inventory[[#This Row],[quality]],Lookups!$A$25:$C$35,3,FALSE),1)</f>
        <v>0.98258795897788032</v>
      </c>
      <c r="BS159" s="4">
        <f>_xlfn.IFNA(VLOOKUP(Granger_Inventory[[#This Row],[condition]],Lookups!$A$38:$C$45,3,FALSE),1)</f>
        <v>0.99484195314749324</v>
      </c>
      <c r="BT159" s="4">
        <f>IF(Granger_Inventory[[#This Row],[decade]]="",1,_xlfn.IFNA(VLOOKUP(Granger_Inventory[[#This Row],[decade]],Lookups!$G$28:$I$42,3,FALSE),1))</f>
        <v>0.95532362136731586</v>
      </c>
      <c r="BU159" s="4">
        <f>_xlfn.IFNA(VLOOKUP(Granger_Inventory[[#This Row],[living_area_range]],Lookups!$A$48:$C$57,3,FALSE),1)</f>
        <v>0.97960506760539345</v>
      </c>
      <c r="BV159" s="4">
        <f>AVERAGE(Granger_Inventory[[#This Row],[qual_adj]:[living_range_adj]])</f>
        <v>0.97808965027452077</v>
      </c>
      <c r="BW159" s="8">
        <f>(Granger_Inventory[[#This Row],[sum_land]]-IF(Granger_Inventory[[#This Row],[no_utilities]]=1,12000,0))/IF(Granger_Inventory[[#This Row],[unbuildable]]=1,2,1)</f>
        <v>17680.230269359956</v>
      </c>
      <c r="BX159" s="8">
        <f>Granger_Inventory[[#This Row],[pre_res]]*Granger_Inventory[[#This Row],[overall_adj]]</f>
        <v>218356.30276746958</v>
      </c>
      <c r="BY15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59">
        <f>ROUND(Granger_Inventory[[#This Row],[detatched_value]]*Lookups!$I$45,-2)</f>
        <v>0</v>
      </c>
      <c r="CA159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59">
        <f>Granger_Inventory[[#This Row],[final_det]]+Granger_Inventory[[#This Row],[final_res]]</f>
        <v>207400</v>
      </c>
      <c r="CC159">
        <f>Granger_Inventory[[#This Row],[final_land]]+Granger_Inventory[[#This Row],[final_imp]]+Granger_Inventory[[#This Row],[crop_value]]</f>
        <v>224200</v>
      </c>
      <c r="CE159" t="str">
        <f t="shared" si="2"/>
        <v>update valuation set market_land =16800, market_bldg=207400, market_total =224200, market_mdno =402, market_date ='9/10/2023' where link_id = (select link_id from parcel where parcel_year = '2024' and parcel_id = '21101641552');</v>
      </c>
    </row>
    <row r="160" spans="1:83" x14ac:dyDescent="0.25">
      <c r="A160">
        <v>21101641553</v>
      </c>
      <c r="B160">
        <v>0.14000000000000001</v>
      </c>
      <c r="C160">
        <v>6150</v>
      </c>
      <c r="D160" t="s">
        <v>137</v>
      </c>
      <c r="E160" t="s">
        <v>54</v>
      </c>
      <c r="F160" t="s">
        <v>54</v>
      </c>
      <c r="G160">
        <v>3</v>
      </c>
      <c r="H160" t="s">
        <v>55</v>
      </c>
      <c r="I160">
        <v>207500</v>
      </c>
      <c r="J160">
        <v>25900</v>
      </c>
      <c r="K160">
        <v>0.14000000000000001</v>
      </c>
      <c r="L16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0">
        <v>0</v>
      </c>
      <c r="N160">
        <v>0</v>
      </c>
      <c r="O160">
        <v>0</v>
      </c>
      <c r="P160">
        <v>47108.068500000001</v>
      </c>
      <c r="Q160">
        <v>122298</v>
      </c>
      <c r="R160">
        <f>(Granger_Inventory[[#This Row],[ln_acres]]*Granger_Inventory[[#This Row],[coeff]])+Granger_Inventory[[#This Row],[const]]</f>
        <v>29678.220883257934</v>
      </c>
      <c r="S160" t="s">
        <v>69</v>
      </c>
      <c r="T160">
        <v>1</v>
      </c>
      <c r="U160" t="s">
        <v>71</v>
      </c>
      <c r="V160" t="s">
        <v>70</v>
      </c>
      <c r="W160">
        <v>0</v>
      </c>
      <c r="X160">
        <v>0</v>
      </c>
      <c r="Y160">
        <v>10</v>
      </c>
      <c r="Z160">
        <v>10</v>
      </c>
      <c r="AA160">
        <v>10</v>
      </c>
      <c r="AB160">
        <v>1500</v>
      </c>
      <c r="AC160">
        <v>1200</v>
      </c>
      <c r="AD160">
        <v>1200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5</v>
      </c>
      <c r="AQ160">
        <v>0</v>
      </c>
      <c r="AR160">
        <v>0</v>
      </c>
      <c r="AS160" t="s">
        <v>59</v>
      </c>
      <c r="AT160">
        <v>1</v>
      </c>
      <c r="AU160" t="s">
        <v>68</v>
      </c>
      <c r="AV160" t="s">
        <v>65</v>
      </c>
      <c r="AW160">
        <v>0</v>
      </c>
      <c r="AX160">
        <v>3</v>
      </c>
      <c r="AY160">
        <v>0</v>
      </c>
      <c r="AZ160">
        <v>0</v>
      </c>
      <c r="BA160">
        <v>100</v>
      </c>
      <c r="BB160">
        <v>100</v>
      </c>
      <c r="BC160">
        <v>100</v>
      </c>
      <c r="BD160">
        <v>100</v>
      </c>
      <c r="BE160">
        <v>1</v>
      </c>
      <c r="BF160">
        <v>15000</v>
      </c>
      <c r="BG160">
        <v>1000</v>
      </c>
      <c r="BH160" s="8">
        <f>Granger_Inventory[[#This Row],[land_extract]]*Lookups!$B$3</f>
        <v>17680.230269359956</v>
      </c>
      <c r="BI160" s="8">
        <f>IF(Granger_Inventory[[#This Row],[bldg_style]]="",0,Lookups!$B$2)</f>
        <v>29703.559000000001</v>
      </c>
      <c r="BJ160" s="8">
        <f>_xlfn.IFNA(VLOOKUP(Granger_Inventory[[#This Row],[quality]],Lookups!$H$2:$J$14,3,FALSE),0)</f>
        <v>34195</v>
      </c>
      <c r="BK160" s="8">
        <f>_xlfn.IFNA(VLOOKUP(Granger_Inventory[[#This Row],[condition]],Lookups!$H$17:$J$24,3,FALSE),0)</f>
        <v>80695</v>
      </c>
      <c r="BL160" s="8">
        <f>Granger_Inventory[[#This Row],[Age]]*Lookups!$B$16</f>
        <v>-2073.3109999999997</v>
      </c>
      <c r="BM160" s="8">
        <f>Granger_Inventory[[#This Row],[living_area]]*Lookups!$B$17</f>
        <v>80727.4908</v>
      </c>
      <c r="BN160" s="8">
        <f>(Granger_Inventory[[#This Row],[att_gar]]+Granger_Inventory[[#This Row],[blt_gar]])*Lookups!$B$18</f>
        <v>0</v>
      </c>
      <c r="BO160" s="8">
        <f>Granger_Inventory[[#This Row],[Patio]]*Lookups!$B$19</f>
        <v>0</v>
      </c>
      <c r="BP160" s="8">
        <f>SUM(Granger_Inventory[[#This Row],[Intercept]:[Patio_Value]])*Granger_Inventory[[#This Row],[res_pct]]</f>
        <v>223247.73880000002</v>
      </c>
      <c r="BQ160" s="8">
        <f>Granger_Inventory[[#This Row],[land_value]]</f>
        <v>17680.230269359956</v>
      </c>
      <c r="BR160" s="4">
        <f>_xlfn.IFNA(VLOOKUP(Granger_Inventory[[#This Row],[quality]],Lookups!$A$25:$C$35,3,FALSE),1)</f>
        <v>0.98258795897788032</v>
      </c>
      <c r="BS160" s="4">
        <f>_xlfn.IFNA(VLOOKUP(Granger_Inventory[[#This Row],[condition]],Lookups!$A$38:$C$45,3,FALSE),1)</f>
        <v>0.99484195314749324</v>
      </c>
      <c r="BT160" s="4">
        <f>IF(Granger_Inventory[[#This Row],[decade]]="",1,_xlfn.IFNA(VLOOKUP(Granger_Inventory[[#This Row],[decade]],Lookups!$G$28:$I$42,3,FALSE),1))</f>
        <v>0.95532362136731586</v>
      </c>
      <c r="BU160" s="4">
        <f>_xlfn.IFNA(VLOOKUP(Granger_Inventory[[#This Row],[living_area_range]],Lookups!$A$48:$C$57,3,FALSE),1)</f>
        <v>0.97960506760539345</v>
      </c>
      <c r="BV160" s="4">
        <f>AVERAGE(Granger_Inventory[[#This Row],[qual_adj]:[living_range_adj]])</f>
        <v>0.97808965027452077</v>
      </c>
      <c r="BW160" s="8">
        <f>(Granger_Inventory[[#This Row],[sum_land]]-IF(Granger_Inventory[[#This Row],[no_utilities]]=1,12000,0))/IF(Granger_Inventory[[#This Row],[unbuildable]]=1,2,1)</f>
        <v>17680.230269359956</v>
      </c>
      <c r="BX160" s="8">
        <f>Granger_Inventory[[#This Row],[pre_res]]*Granger_Inventory[[#This Row],[overall_adj]]</f>
        <v>218356.30276746958</v>
      </c>
      <c r="BY16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0">
        <f>ROUND(Granger_Inventory[[#This Row],[detatched_value]]*Lookups!$I$45,-2)</f>
        <v>0</v>
      </c>
      <c r="CA160">
        <f>IF(ROUND(Granger_Inventory[[#This Row],[adj_res]]*Lookups!$I$45,-2)&lt;Granger_Inventory[[#This Row],[min_res]],Granger_Inventory[[#This Row],[min_res]],ROUND(Granger_Inventory[[#This Row],[adj_res]]*Lookups!$I$45,-2))</f>
        <v>207400</v>
      </c>
      <c r="CB160">
        <f>Granger_Inventory[[#This Row],[final_det]]+Granger_Inventory[[#This Row],[final_res]]</f>
        <v>207400</v>
      </c>
      <c r="CC160">
        <f>Granger_Inventory[[#This Row],[final_land]]+Granger_Inventory[[#This Row],[final_imp]]+Granger_Inventory[[#This Row],[crop_value]]</f>
        <v>224200</v>
      </c>
      <c r="CE160" t="str">
        <f t="shared" si="2"/>
        <v>update valuation set market_land =16800, market_bldg=207400, market_total =224200, market_mdno =402, market_date ='9/10/2023' where link_id = (select link_id from parcel where parcel_year = '2024' and parcel_id = '21101641553');</v>
      </c>
    </row>
    <row r="161" spans="1:83" x14ac:dyDescent="0.25">
      <c r="A161">
        <v>21101641554</v>
      </c>
      <c r="B161">
        <v>0.14000000000000001</v>
      </c>
      <c r="C161">
        <v>6150</v>
      </c>
      <c r="D161" t="s">
        <v>137</v>
      </c>
      <c r="E161" t="s">
        <v>54</v>
      </c>
      <c r="F161" t="s">
        <v>54</v>
      </c>
      <c r="G161">
        <v>3</v>
      </c>
      <c r="H161" t="s">
        <v>55</v>
      </c>
      <c r="I161">
        <v>188200</v>
      </c>
      <c r="J161">
        <v>25900</v>
      </c>
      <c r="K161">
        <v>0.14000000000000001</v>
      </c>
      <c r="L16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1">
        <v>0</v>
      </c>
      <c r="N161">
        <v>0</v>
      </c>
      <c r="O161">
        <v>0</v>
      </c>
      <c r="P161">
        <v>47108.068500000001</v>
      </c>
      <c r="Q161">
        <v>122298</v>
      </c>
      <c r="R161">
        <f>(Granger_Inventory[[#This Row],[ln_acres]]*Granger_Inventory[[#This Row],[coeff]])+Granger_Inventory[[#This Row],[const]]</f>
        <v>29678.220883257934</v>
      </c>
      <c r="S161" t="s">
        <v>69</v>
      </c>
      <c r="T161">
        <v>1</v>
      </c>
      <c r="U161" t="s">
        <v>71</v>
      </c>
      <c r="V161" t="s">
        <v>72</v>
      </c>
      <c r="W161">
        <v>0</v>
      </c>
      <c r="X161">
        <v>0</v>
      </c>
      <c r="Y161">
        <v>11</v>
      </c>
      <c r="Z161">
        <v>11</v>
      </c>
      <c r="AA161">
        <v>20</v>
      </c>
      <c r="AB161">
        <v>1500</v>
      </c>
      <c r="AC161">
        <v>1200</v>
      </c>
      <c r="AD161">
        <v>1200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6</v>
      </c>
      <c r="AQ161">
        <v>0</v>
      </c>
      <c r="AR161">
        <v>0</v>
      </c>
      <c r="AS161" t="s">
        <v>59</v>
      </c>
      <c r="AT161">
        <v>1</v>
      </c>
      <c r="AU161" t="s">
        <v>68</v>
      </c>
      <c r="AV161" t="s">
        <v>65</v>
      </c>
      <c r="AW161">
        <v>0</v>
      </c>
      <c r="AX161">
        <v>3</v>
      </c>
      <c r="AY161">
        <v>0</v>
      </c>
      <c r="AZ161">
        <v>0</v>
      </c>
      <c r="BA161">
        <v>100</v>
      </c>
      <c r="BB161">
        <v>100</v>
      </c>
      <c r="BC161">
        <v>100</v>
      </c>
      <c r="BD161">
        <v>100</v>
      </c>
      <c r="BE161">
        <v>1</v>
      </c>
      <c r="BF161">
        <v>15000</v>
      </c>
      <c r="BG161">
        <v>1000</v>
      </c>
      <c r="BH161" s="8">
        <f>Granger_Inventory[[#This Row],[land_extract]]*Lookups!$B$3</f>
        <v>17680.230269359956</v>
      </c>
      <c r="BI161" s="8">
        <f>IF(Granger_Inventory[[#This Row],[bldg_style]]="",0,Lookups!$B$2)</f>
        <v>29703.559000000001</v>
      </c>
      <c r="BJ161" s="8">
        <f>_xlfn.IFNA(VLOOKUP(Granger_Inventory[[#This Row],[quality]],Lookups!$H$2:$J$14,3,FALSE),0)</f>
        <v>34195</v>
      </c>
      <c r="BK161" s="8">
        <f>_xlfn.IFNA(VLOOKUP(Granger_Inventory[[#This Row],[condition]],Lookups!$H$17:$J$24,3,FALSE),0)</f>
        <v>94106</v>
      </c>
      <c r="BL161" s="8">
        <f>Granger_Inventory[[#This Row],[Age]]*Lookups!$B$16</f>
        <v>-2280.6421</v>
      </c>
      <c r="BM161" s="8">
        <f>Granger_Inventory[[#This Row],[living_area]]*Lookups!$B$17</f>
        <v>80727.4908</v>
      </c>
      <c r="BN161" s="8">
        <f>(Granger_Inventory[[#This Row],[att_gar]]+Granger_Inventory[[#This Row],[blt_gar]])*Lookups!$B$18</f>
        <v>0</v>
      </c>
      <c r="BO161" s="8">
        <f>Granger_Inventory[[#This Row],[Patio]]*Lookups!$B$19</f>
        <v>0</v>
      </c>
      <c r="BP161" s="8">
        <f>SUM(Granger_Inventory[[#This Row],[Intercept]:[Patio_Value]])*Granger_Inventory[[#This Row],[res_pct]]</f>
        <v>236451.40770000001</v>
      </c>
      <c r="BQ161" s="8">
        <f>Granger_Inventory[[#This Row],[land_value]]</f>
        <v>17680.230269359956</v>
      </c>
      <c r="BR161" s="4">
        <f>_xlfn.IFNA(VLOOKUP(Granger_Inventory[[#This Row],[quality]],Lookups!$A$25:$C$35,3,FALSE),1)</f>
        <v>0.98258795897788032</v>
      </c>
      <c r="BS161" s="4">
        <f>_xlfn.IFNA(VLOOKUP(Granger_Inventory[[#This Row],[condition]],Lookups!$A$38:$C$45,3,FALSE),1)</f>
        <v>0.98658583151544277</v>
      </c>
      <c r="BT161" s="4">
        <f>IF(Granger_Inventory[[#This Row],[decade]]="",1,_xlfn.IFNA(VLOOKUP(Granger_Inventory[[#This Row],[decade]],Lookups!$G$28:$I$42,3,FALSE),1))</f>
        <v>1.0159161060824455</v>
      </c>
      <c r="BU161" s="4">
        <f>_xlfn.IFNA(VLOOKUP(Granger_Inventory[[#This Row],[living_area_range]],Lookups!$A$48:$C$57,3,FALSE),1)</f>
        <v>0.97960506760539345</v>
      </c>
      <c r="BV161" s="4">
        <f>AVERAGE(Granger_Inventory[[#This Row],[qual_adj]:[living_range_adj]])</f>
        <v>0.99117374104529055</v>
      </c>
      <c r="BW161" s="8">
        <f>(Granger_Inventory[[#This Row],[sum_land]]-IF(Granger_Inventory[[#This Row],[no_utilities]]=1,12000,0))/IF(Granger_Inventory[[#This Row],[unbuildable]]=1,2,1)</f>
        <v>17680.230269359956</v>
      </c>
      <c r="BX161" s="8">
        <f>Granger_Inventory[[#This Row],[pre_res]]*Granger_Inventory[[#This Row],[overall_adj]]</f>
        <v>234364.42634543424</v>
      </c>
      <c r="BY16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1">
        <f>ROUND(Granger_Inventory[[#This Row],[detatched_value]]*Lookups!$I$45,-2)</f>
        <v>0</v>
      </c>
      <c r="CA161">
        <f>IF(ROUND(Granger_Inventory[[#This Row],[adj_res]]*Lookups!$I$45,-2)&lt;Granger_Inventory[[#This Row],[min_res]],Granger_Inventory[[#This Row],[min_res]],ROUND(Granger_Inventory[[#This Row],[adj_res]]*Lookups!$I$45,-2))</f>
        <v>222600</v>
      </c>
      <c r="CB161">
        <f>Granger_Inventory[[#This Row],[final_det]]+Granger_Inventory[[#This Row],[final_res]]</f>
        <v>222600</v>
      </c>
      <c r="CC161">
        <f>Granger_Inventory[[#This Row],[final_land]]+Granger_Inventory[[#This Row],[final_imp]]+Granger_Inventory[[#This Row],[crop_value]]</f>
        <v>239400</v>
      </c>
      <c r="CE161" t="str">
        <f t="shared" si="2"/>
        <v>update valuation set market_land =16800, market_bldg=222600, market_total =239400, market_mdno =402, market_date ='9/10/2023' where link_id = (select link_id from parcel where parcel_year = '2024' and parcel_id = '21101641554');</v>
      </c>
    </row>
    <row r="162" spans="1:83" x14ac:dyDescent="0.25">
      <c r="A162">
        <v>21101641555</v>
      </c>
      <c r="B162">
        <v>0.14000000000000001</v>
      </c>
      <c r="C162">
        <v>6150</v>
      </c>
      <c r="D162" t="s">
        <v>137</v>
      </c>
      <c r="E162" t="s">
        <v>54</v>
      </c>
      <c r="F162" t="s">
        <v>54</v>
      </c>
      <c r="G162">
        <v>3</v>
      </c>
      <c r="H162" t="s">
        <v>55</v>
      </c>
      <c r="I162">
        <v>206500</v>
      </c>
      <c r="J162">
        <v>25900</v>
      </c>
      <c r="K162">
        <v>0.14000000000000001</v>
      </c>
      <c r="L16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2">
        <v>0</v>
      </c>
      <c r="N162">
        <v>0</v>
      </c>
      <c r="O162">
        <v>0</v>
      </c>
      <c r="P162">
        <v>47108.068500000001</v>
      </c>
      <c r="Q162">
        <v>122298</v>
      </c>
      <c r="R162">
        <f>(Granger_Inventory[[#This Row],[ln_acres]]*Granger_Inventory[[#This Row],[coeff]])+Granger_Inventory[[#This Row],[const]]</f>
        <v>29678.220883257934</v>
      </c>
      <c r="S162" t="s">
        <v>69</v>
      </c>
      <c r="T162">
        <v>1</v>
      </c>
      <c r="U162" t="s">
        <v>71</v>
      </c>
      <c r="V162" t="s">
        <v>70</v>
      </c>
      <c r="W162">
        <v>0</v>
      </c>
      <c r="X162">
        <v>0</v>
      </c>
      <c r="Y162">
        <v>12</v>
      </c>
      <c r="Z162">
        <v>12</v>
      </c>
      <c r="AA162">
        <v>20</v>
      </c>
      <c r="AB162">
        <v>1500</v>
      </c>
      <c r="AC162">
        <v>1200</v>
      </c>
      <c r="AD162">
        <v>1200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5</v>
      </c>
      <c r="AQ162">
        <v>0</v>
      </c>
      <c r="AR162">
        <v>0</v>
      </c>
      <c r="AS162" t="s">
        <v>59</v>
      </c>
      <c r="AT162">
        <v>1</v>
      </c>
      <c r="AU162" t="s">
        <v>68</v>
      </c>
      <c r="AV162" t="s">
        <v>65</v>
      </c>
      <c r="AW162">
        <v>0</v>
      </c>
      <c r="AX162">
        <v>3</v>
      </c>
      <c r="AY162">
        <v>0</v>
      </c>
      <c r="AZ162">
        <v>0</v>
      </c>
      <c r="BA162">
        <v>100</v>
      </c>
      <c r="BB162">
        <v>100</v>
      </c>
      <c r="BC162">
        <v>100</v>
      </c>
      <c r="BD162">
        <v>100</v>
      </c>
      <c r="BE162">
        <v>1</v>
      </c>
      <c r="BF162">
        <v>15000</v>
      </c>
      <c r="BG162">
        <v>1000</v>
      </c>
      <c r="BH162" s="8">
        <f>Granger_Inventory[[#This Row],[land_extract]]*Lookups!$B$3</f>
        <v>17680.230269359956</v>
      </c>
      <c r="BI162" s="8">
        <f>IF(Granger_Inventory[[#This Row],[bldg_style]]="",0,Lookups!$B$2)</f>
        <v>29703.559000000001</v>
      </c>
      <c r="BJ162" s="8">
        <f>_xlfn.IFNA(VLOOKUP(Granger_Inventory[[#This Row],[quality]],Lookups!$H$2:$J$14,3,FALSE),0)</f>
        <v>34195</v>
      </c>
      <c r="BK162" s="8">
        <f>_xlfn.IFNA(VLOOKUP(Granger_Inventory[[#This Row],[condition]],Lookups!$H$17:$J$24,3,FALSE),0)</f>
        <v>80695</v>
      </c>
      <c r="BL162" s="8">
        <f>Granger_Inventory[[#This Row],[Age]]*Lookups!$B$16</f>
        <v>-2487.9731999999999</v>
      </c>
      <c r="BM162" s="8">
        <f>Granger_Inventory[[#This Row],[living_area]]*Lookups!$B$17</f>
        <v>80727.4908</v>
      </c>
      <c r="BN162" s="8">
        <f>(Granger_Inventory[[#This Row],[att_gar]]+Granger_Inventory[[#This Row],[blt_gar]])*Lookups!$B$18</f>
        <v>0</v>
      </c>
      <c r="BO162" s="8">
        <f>Granger_Inventory[[#This Row],[Patio]]*Lookups!$B$19</f>
        <v>0</v>
      </c>
      <c r="BP162" s="8">
        <f>SUM(Granger_Inventory[[#This Row],[Intercept]:[Patio_Value]])*Granger_Inventory[[#This Row],[res_pct]]</f>
        <v>222833.0766</v>
      </c>
      <c r="BQ162" s="8">
        <f>Granger_Inventory[[#This Row],[land_value]]</f>
        <v>17680.230269359956</v>
      </c>
      <c r="BR162" s="4">
        <f>_xlfn.IFNA(VLOOKUP(Granger_Inventory[[#This Row],[quality]],Lookups!$A$25:$C$35,3,FALSE),1)</f>
        <v>0.98258795897788032</v>
      </c>
      <c r="BS162" s="4">
        <f>_xlfn.IFNA(VLOOKUP(Granger_Inventory[[#This Row],[condition]],Lookups!$A$38:$C$45,3,FALSE),1)</f>
        <v>0.99484195314749324</v>
      </c>
      <c r="BT162" s="4">
        <f>IF(Granger_Inventory[[#This Row],[decade]]="",1,_xlfn.IFNA(VLOOKUP(Granger_Inventory[[#This Row],[decade]],Lookups!$G$28:$I$42,3,FALSE),1))</f>
        <v>1.0159161060824455</v>
      </c>
      <c r="BU162" s="4">
        <f>_xlfn.IFNA(VLOOKUP(Granger_Inventory[[#This Row],[living_area_range]],Lookups!$A$48:$C$57,3,FALSE),1)</f>
        <v>0.97960506760539345</v>
      </c>
      <c r="BV162" s="4">
        <f>AVERAGE(Granger_Inventory[[#This Row],[qual_adj]:[living_range_adj]])</f>
        <v>0.99323777145330316</v>
      </c>
      <c r="BW162" s="8">
        <f>(Granger_Inventory[[#This Row],[sum_land]]-IF(Granger_Inventory[[#This Row],[no_utilities]]=1,12000,0))/IF(Granger_Inventory[[#This Row],[unbuildable]]=1,2,1)</f>
        <v>17680.230269359956</v>
      </c>
      <c r="BX162" s="8">
        <f>Granger_Inventory[[#This Row],[pre_res]]*Granger_Inventory[[#This Row],[overall_adj]]</f>
        <v>221326.2284082672</v>
      </c>
      <c r="BY16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2">
        <f>ROUND(Granger_Inventory[[#This Row],[detatched_value]]*Lookups!$I$45,-2)</f>
        <v>0</v>
      </c>
      <c r="CA162">
        <f>IF(ROUND(Granger_Inventory[[#This Row],[adj_res]]*Lookups!$I$45,-2)&lt;Granger_Inventory[[#This Row],[min_res]],Granger_Inventory[[#This Row],[min_res]],ROUND(Granger_Inventory[[#This Row],[adj_res]]*Lookups!$I$45,-2))</f>
        <v>210300</v>
      </c>
      <c r="CB162">
        <f>Granger_Inventory[[#This Row],[final_det]]+Granger_Inventory[[#This Row],[final_res]]</f>
        <v>210300</v>
      </c>
      <c r="CC162">
        <f>Granger_Inventory[[#This Row],[final_land]]+Granger_Inventory[[#This Row],[final_imp]]+Granger_Inventory[[#This Row],[crop_value]]</f>
        <v>227100</v>
      </c>
      <c r="CE162" t="str">
        <f t="shared" si="2"/>
        <v>update valuation set market_land =16800, market_bldg=210300, market_total =227100, market_mdno =402, market_date ='9/10/2023' where link_id = (select link_id from parcel where parcel_year = '2024' and parcel_id = '21101641555');</v>
      </c>
    </row>
    <row r="163" spans="1:83" x14ac:dyDescent="0.25">
      <c r="A163">
        <v>21101641556</v>
      </c>
      <c r="B163">
        <v>0.14000000000000001</v>
      </c>
      <c r="C163">
        <v>6150</v>
      </c>
      <c r="D163" t="s">
        <v>137</v>
      </c>
      <c r="E163" t="s">
        <v>54</v>
      </c>
      <c r="F163" t="s">
        <v>54</v>
      </c>
      <c r="G163">
        <v>3</v>
      </c>
      <c r="H163" t="s">
        <v>55</v>
      </c>
      <c r="I163">
        <v>206500</v>
      </c>
      <c r="J163">
        <v>25900</v>
      </c>
      <c r="K163">
        <v>0.14000000000000001</v>
      </c>
      <c r="L16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3">
        <v>0</v>
      </c>
      <c r="N163">
        <v>0</v>
      </c>
      <c r="O163">
        <v>0</v>
      </c>
      <c r="P163">
        <v>47108.068500000001</v>
      </c>
      <c r="Q163">
        <v>122298</v>
      </c>
      <c r="R163">
        <f>(Granger_Inventory[[#This Row],[ln_acres]]*Granger_Inventory[[#This Row],[coeff]])+Granger_Inventory[[#This Row],[const]]</f>
        <v>29678.220883257934</v>
      </c>
      <c r="S163" t="s">
        <v>69</v>
      </c>
      <c r="T163">
        <v>1</v>
      </c>
      <c r="U163" t="s">
        <v>71</v>
      </c>
      <c r="V163" t="s">
        <v>70</v>
      </c>
      <c r="W163">
        <v>0</v>
      </c>
      <c r="X163">
        <v>0</v>
      </c>
      <c r="Y163">
        <v>12</v>
      </c>
      <c r="Z163">
        <v>12</v>
      </c>
      <c r="AA163">
        <v>20</v>
      </c>
      <c r="AB163">
        <v>1500</v>
      </c>
      <c r="AC163">
        <v>1200</v>
      </c>
      <c r="AD163">
        <v>1200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5</v>
      </c>
      <c r="AQ163">
        <v>0</v>
      </c>
      <c r="AR163">
        <v>0</v>
      </c>
      <c r="AS163" t="s">
        <v>59</v>
      </c>
      <c r="AT163">
        <v>1</v>
      </c>
      <c r="AU163" t="s">
        <v>68</v>
      </c>
      <c r="AV163" t="s">
        <v>65</v>
      </c>
      <c r="AW163">
        <v>0</v>
      </c>
      <c r="AX163">
        <v>3</v>
      </c>
      <c r="AY163">
        <v>0</v>
      </c>
      <c r="AZ163">
        <v>0</v>
      </c>
      <c r="BA163">
        <v>100</v>
      </c>
      <c r="BB163">
        <v>100</v>
      </c>
      <c r="BC163">
        <v>100</v>
      </c>
      <c r="BD163">
        <v>100</v>
      </c>
      <c r="BE163">
        <v>1</v>
      </c>
      <c r="BF163">
        <v>15000</v>
      </c>
      <c r="BG163">
        <v>1000</v>
      </c>
      <c r="BH163" s="8">
        <f>Granger_Inventory[[#This Row],[land_extract]]*Lookups!$B$3</f>
        <v>17680.230269359956</v>
      </c>
      <c r="BI163" s="8">
        <f>IF(Granger_Inventory[[#This Row],[bldg_style]]="",0,Lookups!$B$2)</f>
        <v>29703.559000000001</v>
      </c>
      <c r="BJ163" s="8">
        <f>_xlfn.IFNA(VLOOKUP(Granger_Inventory[[#This Row],[quality]],Lookups!$H$2:$J$14,3,FALSE),0)</f>
        <v>34195</v>
      </c>
      <c r="BK163" s="8">
        <f>_xlfn.IFNA(VLOOKUP(Granger_Inventory[[#This Row],[condition]],Lookups!$H$17:$J$24,3,FALSE),0)</f>
        <v>80695</v>
      </c>
      <c r="BL163" s="8">
        <f>Granger_Inventory[[#This Row],[Age]]*Lookups!$B$16</f>
        <v>-2487.9731999999999</v>
      </c>
      <c r="BM163" s="8">
        <f>Granger_Inventory[[#This Row],[living_area]]*Lookups!$B$17</f>
        <v>80727.4908</v>
      </c>
      <c r="BN163" s="8">
        <f>(Granger_Inventory[[#This Row],[att_gar]]+Granger_Inventory[[#This Row],[blt_gar]])*Lookups!$B$18</f>
        <v>0</v>
      </c>
      <c r="BO163" s="8">
        <f>Granger_Inventory[[#This Row],[Patio]]*Lookups!$B$19</f>
        <v>0</v>
      </c>
      <c r="BP163" s="8">
        <f>SUM(Granger_Inventory[[#This Row],[Intercept]:[Patio_Value]])*Granger_Inventory[[#This Row],[res_pct]]</f>
        <v>222833.0766</v>
      </c>
      <c r="BQ163" s="8">
        <f>Granger_Inventory[[#This Row],[land_value]]</f>
        <v>17680.230269359956</v>
      </c>
      <c r="BR163" s="4">
        <f>_xlfn.IFNA(VLOOKUP(Granger_Inventory[[#This Row],[quality]],Lookups!$A$25:$C$35,3,FALSE),1)</f>
        <v>0.98258795897788032</v>
      </c>
      <c r="BS163" s="4">
        <f>_xlfn.IFNA(VLOOKUP(Granger_Inventory[[#This Row],[condition]],Lookups!$A$38:$C$45,3,FALSE),1)</f>
        <v>0.99484195314749324</v>
      </c>
      <c r="BT163" s="4">
        <f>IF(Granger_Inventory[[#This Row],[decade]]="",1,_xlfn.IFNA(VLOOKUP(Granger_Inventory[[#This Row],[decade]],Lookups!$G$28:$I$42,3,FALSE),1))</f>
        <v>1.0159161060824455</v>
      </c>
      <c r="BU163" s="4">
        <f>_xlfn.IFNA(VLOOKUP(Granger_Inventory[[#This Row],[living_area_range]],Lookups!$A$48:$C$57,3,FALSE),1)</f>
        <v>0.97960506760539345</v>
      </c>
      <c r="BV163" s="4">
        <f>AVERAGE(Granger_Inventory[[#This Row],[qual_adj]:[living_range_adj]])</f>
        <v>0.99323777145330316</v>
      </c>
      <c r="BW163" s="8">
        <f>(Granger_Inventory[[#This Row],[sum_land]]-IF(Granger_Inventory[[#This Row],[no_utilities]]=1,12000,0))/IF(Granger_Inventory[[#This Row],[unbuildable]]=1,2,1)</f>
        <v>17680.230269359956</v>
      </c>
      <c r="BX163" s="8">
        <f>Granger_Inventory[[#This Row],[pre_res]]*Granger_Inventory[[#This Row],[overall_adj]]</f>
        <v>221326.2284082672</v>
      </c>
      <c r="BY16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3">
        <f>ROUND(Granger_Inventory[[#This Row],[detatched_value]]*Lookups!$I$45,-2)</f>
        <v>0</v>
      </c>
      <c r="CA163">
        <f>IF(ROUND(Granger_Inventory[[#This Row],[adj_res]]*Lookups!$I$45,-2)&lt;Granger_Inventory[[#This Row],[min_res]],Granger_Inventory[[#This Row],[min_res]],ROUND(Granger_Inventory[[#This Row],[adj_res]]*Lookups!$I$45,-2))</f>
        <v>210300</v>
      </c>
      <c r="CB163">
        <f>Granger_Inventory[[#This Row],[final_det]]+Granger_Inventory[[#This Row],[final_res]]</f>
        <v>210300</v>
      </c>
      <c r="CC163">
        <f>Granger_Inventory[[#This Row],[final_land]]+Granger_Inventory[[#This Row],[final_imp]]+Granger_Inventory[[#This Row],[crop_value]]</f>
        <v>227100</v>
      </c>
      <c r="CE163" t="str">
        <f t="shared" si="2"/>
        <v>update valuation set market_land =16800, market_bldg=210300, market_total =227100, market_mdno =402, market_date ='9/10/2023' where link_id = (select link_id from parcel where parcel_year = '2024' and parcel_id = '21101641556');</v>
      </c>
    </row>
    <row r="164" spans="1:83" x14ac:dyDescent="0.25">
      <c r="A164">
        <v>21101641557</v>
      </c>
      <c r="B164">
        <v>0.14000000000000001</v>
      </c>
      <c r="C164">
        <v>6150</v>
      </c>
      <c r="D164" t="s">
        <v>137</v>
      </c>
      <c r="E164" t="s">
        <v>54</v>
      </c>
      <c r="F164" t="s">
        <v>54</v>
      </c>
      <c r="G164">
        <v>3</v>
      </c>
      <c r="H164" t="s">
        <v>55</v>
      </c>
      <c r="I164">
        <v>198400</v>
      </c>
      <c r="J164">
        <v>25900</v>
      </c>
      <c r="K164">
        <v>0.14000000000000001</v>
      </c>
      <c r="L16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4">
        <v>0</v>
      </c>
      <c r="N164">
        <v>0</v>
      </c>
      <c r="O164">
        <v>0</v>
      </c>
      <c r="P164">
        <v>47108.068500000001</v>
      </c>
      <c r="Q164">
        <v>122298</v>
      </c>
      <c r="R164">
        <f>(Granger_Inventory[[#This Row],[ln_acres]]*Granger_Inventory[[#This Row],[coeff]])+Granger_Inventory[[#This Row],[const]]</f>
        <v>29678.220883257934</v>
      </c>
      <c r="S164" t="s">
        <v>69</v>
      </c>
      <c r="T164">
        <v>1</v>
      </c>
      <c r="U164" t="s">
        <v>71</v>
      </c>
      <c r="V164" t="s">
        <v>72</v>
      </c>
      <c r="W164">
        <v>0</v>
      </c>
      <c r="X164">
        <v>0</v>
      </c>
      <c r="Y164">
        <v>16</v>
      </c>
      <c r="Z164">
        <v>16</v>
      </c>
      <c r="AA164">
        <v>20</v>
      </c>
      <c r="AB164">
        <v>1500</v>
      </c>
      <c r="AC164">
        <v>1056</v>
      </c>
      <c r="AD164">
        <v>1056</v>
      </c>
      <c r="AE164">
        <v>0</v>
      </c>
      <c r="AF164">
        <v>0</v>
      </c>
      <c r="AG164">
        <v>0</v>
      </c>
      <c r="AH164">
        <v>0</v>
      </c>
      <c r="AI164">
        <v>264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8</v>
      </c>
      <c r="AQ164">
        <v>0</v>
      </c>
      <c r="AR164">
        <v>0</v>
      </c>
      <c r="AS164" t="s">
        <v>59</v>
      </c>
      <c r="AT164">
        <v>1</v>
      </c>
      <c r="AU164" t="s">
        <v>63</v>
      </c>
      <c r="AV164" t="s">
        <v>65</v>
      </c>
      <c r="AW164">
        <v>1</v>
      </c>
      <c r="AX164">
        <v>3</v>
      </c>
      <c r="AY164">
        <v>0</v>
      </c>
      <c r="AZ164">
        <v>0</v>
      </c>
      <c r="BA164">
        <v>100</v>
      </c>
      <c r="BB164">
        <v>100</v>
      </c>
      <c r="BC164">
        <v>100</v>
      </c>
      <c r="BD164">
        <v>100</v>
      </c>
      <c r="BE164">
        <v>1</v>
      </c>
      <c r="BF164">
        <v>15000</v>
      </c>
      <c r="BG164">
        <v>1000</v>
      </c>
      <c r="BH164" s="8">
        <f>Granger_Inventory[[#This Row],[land_extract]]*Lookups!$B$3</f>
        <v>17680.230269359956</v>
      </c>
      <c r="BI164" s="8">
        <f>IF(Granger_Inventory[[#This Row],[bldg_style]]="",0,Lookups!$B$2)</f>
        <v>29703.559000000001</v>
      </c>
      <c r="BJ164" s="8">
        <f>_xlfn.IFNA(VLOOKUP(Granger_Inventory[[#This Row],[quality]],Lookups!$H$2:$J$14,3,FALSE),0)</f>
        <v>34195</v>
      </c>
      <c r="BK164" s="8">
        <f>_xlfn.IFNA(VLOOKUP(Granger_Inventory[[#This Row],[condition]],Lookups!$H$17:$J$24,3,FALSE),0)</f>
        <v>94106</v>
      </c>
      <c r="BL164" s="8">
        <f>Granger_Inventory[[#This Row],[Age]]*Lookups!$B$16</f>
        <v>-3317.2975999999999</v>
      </c>
      <c r="BM164" s="8">
        <f>Granger_Inventory[[#This Row],[living_area]]*Lookups!$B$17</f>
        <v>71040.191903999992</v>
      </c>
      <c r="BN164" s="8">
        <f>(Granger_Inventory[[#This Row],[att_gar]]+Granger_Inventory[[#This Row],[blt_gar]])*Lookups!$B$18</f>
        <v>12790.162704</v>
      </c>
      <c r="BO164" s="8">
        <f>Granger_Inventory[[#This Row],[Patio]]*Lookups!$B$19</f>
        <v>0</v>
      </c>
      <c r="BP164" s="8">
        <f>SUM(Granger_Inventory[[#This Row],[Intercept]:[Patio_Value]])*Granger_Inventory[[#This Row],[res_pct]]</f>
        <v>238517.61600800001</v>
      </c>
      <c r="BQ164" s="8">
        <f>Granger_Inventory[[#This Row],[land_value]]</f>
        <v>17680.230269359956</v>
      </c>
      <c r="BR164" s="4">
        <f>_xlfn.IFNA(VLOOKUP(Granger_Inventory[[#This Row],[quality]],Lookups!$A$25:$C$35,3,FALSE),1)</f>
        <v>0.98258795897788032</v>
      </c>
      <c r="BS164" s="4">
        <f>_xlfn.IFNA(VLOOKUP(Granger_Inventory[[#This Row],[condition]],Lookups!$A$38:$C$45,3,FALSE),1)</f>
        <v>0.98658583151544277</v>
      </c>
      <c r="BT164" s="4">
        <f>IF(Granger_Inventory[[#This Row],[decade]]="",1,_xlfn.IFNA(VLOOKUP(Granger_Inventory[[#This Row],[decade]],Lookups!$G$28:$I$42,3,FALSE),1))</f>
        <v>1.0159161060824455</v>
      </c>
      <c r="BU164" s="4">
        <f>_xlfn.IFNA(VLOOKUP(Granger_Inventory[[#This Row],[living_area_range]],Lookups!$A$48:$C$57,3,FALSE),1)</f>
        <v>0.97960506760539345</v>
      </c>
      <c r="BV164" s="4">
        <f>AVERAGE(Granger_Inventory[[#This Row],[qual_adj]:[living_range_adj]])</f>
        <v>0.99117374104529055</v>
      </c>
      <c r="BW164" s="8">
        <f>(Granger_Inventory[[#This Row],[sum_land]]-IF(Granger_Inventory[[#This Row],[no_utilities]]=1,12000,0))/IF(Granger_Inventory[[#This Row],[unbuildable]]=1,2,1)</f>
        <v>17680.230269359956</v>
      </c>
      <c r="BX164" s="8">
        <f>Granger_Inventory[[#This Row],[pre_res]]*Granger_Inventory[[#This Row],[overall_adj]]</f>
        <v>236412.39776385346</v>
      </c>
      <c r="BY16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4">
        <f>ROUND(Granger_Inventory[[#This Row],[detatched_value]]*Lookups!$I$45,-2)</f>
        <v>0</v>
      </c>
      <c r="CA164">
        <f>IF(ROUND(Granger_Inventory[[#This Row],[adj_res]]*Lookups!$I$45,-2)&lt;Granger_Inventory[[#This Row],[min_res]],Granger_Inventory[[#This Row],[min_res]],ROUND(Granger_Inventory[[#This Row],[adj_res]]*Lookups!$I$45,-2))</f>
        <v>224600</v>
      </c>
      <c r="CB164">
        <f>Granger_Inventory[[#This Row],[final_det]]+Granger_Inventory[[#This Row],[final_res]]</f>
        <v>224600</v>
      </c>
      <c r="CC164">
        <f>Granger_Inventory[[#This Row],[final_land]]+Granger_Inventory[[#This Row],[final_imp]]+Granger_Inventory[[#This Row],[crop_value]]</f>
        <v>241400</v>
      </c>
      <c r="CE164" t="str">
        <f t="shared" si="2"/>
        <v>update valuation set market_land =16800, market_bldg=224600, market_total =241400, market_mdno =402, market_date ='9/10/2023' where link_id = (select link_id from parcel where parcel_year = '2024' and parcel_id = '21101641557');</v>
      </c>
    </row>
    <row r="165" spans="1:83" x14ac:dyDescent="0.25">
      <c r="A165">
        <v>21101641558</v>
      </c>
      <c r="B165">
        <v>0.14000000000000001</v>
      </c>
      <c r="C165">
        <v>6150</v>
      </c>
      <c r="D165" t="s">
        <v>137</v>
      </c>
      <c r="E165" t="s">
        <v>54</v>
      </c>
      <c r="F165" t="s">
        <v>54</v>
      </c>
      <c r="G165">
        <v>3</v>
      </c>
      <c r="H165" t="s">
        <v>55</v>
      </c>
      <c r="I165">
        <v>224400</v>
      </c>
      <c r="J165">
        <v>25900</v>
      </c>
      <c r="K165">
        <v>0.14000000000000001</v>
      </c>
      <c r="L16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5">
        <v>0</v>
      </c>
      <c r="N165">
        <v>0</v>
      </c>
      <c r="O165">
        <v>0</v>
      </c>
      <c r="P165">
        <v>47108.068500000001</v>
      </c>
      <c r="Q165">
        <v>122298</v>
      </c>
      <c r="R165">
        <f>(Granger_Inventory[[#This Row],[ln_acres]]*Granger_Inventory[[#This Row],[coeff]])+Granger_Inventory[[#This Row],[const]]</f>
        <v>29678.220883257934</v>
      </c>
      <c r="S165" t="s">
        <v>69</v>
      </c>
      <c r="T165">
        <v>1</v>
      </c>
      <c r="U165" t="s">
        <v>71</v>
      </c>
      <c r="V165" t="s">
        <v>70</v>
      </c>
      <c r="W165">
        <v>0</v>
      </c>
      <c r="X165">
        <v>0</v>
      </c>
      <c r="Y165">
        <v>17</v>
      </c>
      <c r="Z165">
        <v>17</v>
      </c>
      <c r="AA165">
        <v>20</v>
      </c>
      <c r="AB165">
        <v>1500</v>
      </c>
      <c r="AC165">
        <v>1056</v>
      </c>
      <c r="AD165">
        <v>1056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8</v>
      </c>
      <c r="AQ165">
        <v>0</v>
      </c>
      <c r="AR165">
        <v>0</v>
      </c>
      <c r="AS165" t="s">
        <v>139</v>
      </c>
      <c r="AT165">
        <v>1</v>
      </c>
      <c r="AU165" t="s">
        <v>63</v>
      </c>
      <c r="AV165" t="s">
        <v>65</v>
      </c>
      <c r="AW165">
        <v>1</v>
      </c>
      <c r="AX165">
        <v>4</v>
      </c>
      <c r="AY165">
        <v>0</v>
      </c>
      <c r="AZ165">
        <v>0</v>
      </c>
      <c r="BA165">
        <v>100</v>
      </c>
      <c r="BB165">
        <v>100</v>
      </c>
      <c r="BC165">
        <v>100</v>
      </c>
      <c r="BD165">
        <v>100</v>
      </c>
      <c r="BE165">
        <v>1</v>
      </c>
      <c r="BF165">
        <v>15000</v>
      </c>
      <c r="BG165">
        <v>1000</v>
      </c>
      <c r="BH165" s="8">
        <f>Granger_Inventory[[#This Row],[land_extract]]*Lookups!$B$3</f>
        <v>17680.230269359956</v>
      </c>
      <c r="BI165" s="8">
        <f>IF(Granger_Inventory[[#This Row],[bldg_style]]="",0,Lookups!$B$2)</f>
        <v>29703.559000000001</v>
      </c>
      <c r="BJ165" s="8">
        <f>_xlfn.IFNA(VLOOKUP(Granger_Inventory[[#This Row],[quality]],Lookups!$H$2:$J$14,3,FALSE),0)</f>
        <v>34195</v>
      </c>
      <c r="BK165" s="8">
        <f>_xlfn.IFNA(VLOOKUP(Granger_Inventory[[#This Row],[condition]],Lookups!$H$17:$J$24,3,FALSE),0)</f>
        <v>80695</v>
      </c>
      <c r="BL165" s="8">
        <f>Granger_Inventory[[#This Row],[Age]]*Lookups!$B$16</f>
        <v>-3524.6286999999998</v>
      </c>
      <c r="BM165" s="8">
        <f>Granger_Inventory[[#This Row],[living_area]]*Lookups!$B$17</f>
        <v>71040.191903999992</v>
      </c>
      <c r="BN165" s="8">
        <f>(Granger_Inventory[[#This Row],[att_gar]]+Granger_Inventory[[#This Row],[blt_gar]])*Lookups!$B$18</f>
        <v>0</v>
      </c>
      <c r="BO165" s="8">
        <f>Granger_Inventory[[#This Row],[Patio]]*Lookups!$B$19</f>
        <v>0</v>
      </c>
      <c r="BP165" s="8">
        <f>SUM(Granger_Inventory[[#This Row],[Intercept]:[Patio_Value]])*Granger_Inventory[[#This Row],[res_pct]]</f>
        <v>212109.12220400001</v>
      </c>
      <c r="BQ165" s="8">
        <f>Granger_Inventory[[#This Row],[land_value]]</f>
        <v>17680.230269359956</v>
      </c>
      <c r="BR165" s="4">
        <f>_xlfn.IFNA(VLOOKUP(Granger_Inventory[[#This Row],[quality]],Lookups!$A$25:$C$35,3,FALSE),1)</f>
        <v>0.98258795897788032</v>
      </c>
      <c r="BS165" s="4">
        <f>_xlfn.IFNA(VLOOKUP(Granger_Inventory[[#This Row],[condition]],Lookups!$A$38:$C$45,3,FALSE),1)</f>
        <v>0.99484195314749324</v>
      </c>
      <c r="BT165" s="4">
        <f>IF(Granger_Inventory[[#This Row],[decade]]="",1,_xlfn.IFNA(VLOOKUP(Granger_Inventory[[#This Row],[decade]],Lookups!$G$28:$I$42,3,FALSE),1))</f>
        <v>1.0159161060824455</v>
      </c>
      <c r="BU165" s="4">
        <f>_xlfn.IFNA(VLOOKUP(Granger_Inventory[[#This Row],[living_area_range]],Lookups!$A$48:$C$57,3,FALSE),1)</f>
        <v>0.97960506760539345</v>
      </c>
      <c r="BV165" s="4">
        <f>AVERAGE(Granger_Inventory[[#This Row],[qual_adj]:[living_range_adj]])</f>
        <v>0.99323777145330316</v>
      </c>
      <c r="BW165" s="8">
        <f>(Granger_Inventory[[#This Row],[sum_land]]-IF(Granger_Inventory[[#This Row],[no_utilities]]=1,12000,0))/IF(Granger_Inventory[[#This Row],[unbuildable]]=1,2,1)</f>
        <v>17680.230269359956</v>
      </c>
      <c r="BX165" s="8">
        <f>Granger_Inventory[[#This Row],[pre_res]]*Granger_Inventory[[#This Row],[overall_adj]]</f>
        <v>210674.79184281733</v>
      </c>
      <c r="BY16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5">
        <f>ROUND(Granger_Inventory[[#This Row],[detatched_value]]*Lookups!$I$45,-2)</f>
        <v>0</v>
      </c>
      <c r="CA165">
        <f>IF(ROUND(Granger_Inventory[[#This Row],[adj_res]]*Lookups!$I$45,-2)&lt;Granger_Inventory[[#This Row],[min_res]],Granger_Inventory[[#This Row],[min_res]],ROUND(Granger_Inventory[[#This Row],[adj_res]]*Lookups!$I$45,-2))</f>
        <v>200100</v>
      </c>
      <c r="CB165">
        <f>Granger_Inventory[[#This Row],[final_det]]+Granger_Inventory[[#This Row],[final_res]]</f>
        <v>200100</v>
      </c>
      <c r="CC165">
        <f>Granger_Inventory[[#This Row],[final_land]]+Granger_Inventory[[#This Row],[final_imp]]+Granger_Inventory[[#This Row],[crop_value]]</f>
        <v>216900</v>
      </c>
      <c r="CE165" t="str">
        <f t="shared" si="2"/>
        <v>update valuation set market_land =16800, market_bldg=200100, market_total =216900, market_mdno =402, market_date ='9/10/2023' where link_id = (select link_id from parcel where parcel_year = '2024' and parcel_id = '21101641558');</v>
      </c>
    </row>
    <row r="166" spans="1:83" x14ac:dyDescent="0.25">
      <c r="A166">
        <v>21101641559</v>
      </c>
      <c r="B166">
        <v>0.18</v>
      </c>
      <c r="C166">
        <v>7997</v>
      </c>
      <c r="D166" t="s">
        <v>137</v>
      </c>
      <c r="E166" t="s">
        <v>54</v>
      </c>
      <c r="F166" t="s">
        <v>54</v>
      </c>
      <c r="G166">
        <v>3</v>
      </c>
      <c r="H166" t="s">
        <v>55</v>
      </c>
      <c r="I166">
        <v>245300</v>
      </c>
      <c r="J166">
        <v>27400</v>
      </c>
      <c r="K166">
        <v>0.18</v>
      </c>
      <c r="L16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166">
        <v>0</v>
      </c>
      <c r="N166">
        <v>0</v>
      </c>
      <c r="O166">
        <v>0</v>
      </c>
      <c r="P166">
        <v>47108.068500000001</v>
      </c>
      <c r="Q166">
        <v>122298</v>
      </c>
      <c r="R166">
        <f>(Granger_Inventory[[#This Row],[ln_acres]]*Granger_Inventory[[#This Row],[coeff]])+Granger_Inventory[[#This Row],[const]]</f>
        <v>41517.1581857532</v>
      </c>
      <c r="S166" t="s">
        <v>69</v>
      </c>
      <c r="T166">
        <v>1</v>
      </c>
      <c r="U166" t="s">
        <v>71</v>
      </c>
      <c r="V166" t="s">
        <v>72</v>
      </c>
      <c r="W166">
        <v>0</v>
      </c>
      <c r="X166">
        <v>0</v>
      </c>
      <c r="Y166">
        <v>17</v>
      </c>
      <c r="Z166">
        <v>17</v>
      </c>
      <c r="AA166">
        <v>20</v>
      </c>
      <c r="AB166">
        <v>1500</v>
      </c>
      <c r="AC166">
        <v>1416</v>
      </c>
      <c r="AD166">
        <v>1416</v>
      </c>
      <c r="AE166">
        <v>0</v>
      </c>
      <c r="AF166">
        <v>0</v>
      </c>
      <c r="AG166">
        <v>0</v>
      </c>
      <c r="AH166">
        <v>0</v>
      </c>
      <c r="AI166">
        <v>264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8</v>
      </c>
      <c r="AQ166">
        <v>0</v>
      </c>
      <c r="AR166">
        <v>0</v>
      </c>
      <c r="AS166" t="s">
        <v>59</v>
      </c>
      <c r="AT166">
        <v>1</v>
      </c>
      <c r="AU166" t="s">
        <v>63</v>
      </c>
      <c r="AV166" t="s">
        <v>65</v>
      </c>
      <c r="AW166">
        <v>1</v>
      </c>
      <c r="AX166">
        <v>4</v>
      </c>
      <c r="AY166">
        <v>0</v>
      </c>
      <c r="AZ166">
        <v>0</v>
      </c>
      <c r="BA166">
        <v>100</v>
      </c>
      <c r="BB166">
        <v>100</v>
      </c>
      <c r="BC166">
        <v>100</v>
      </c>
      <c r="BD166">
        <v>100</v>
      </c>
      <c r="BE166">
        <v>1</v>
      </c>
      <c r="BF166">
        <v>15000</v>
      </c>
      <c r="BG166">
        <v>1000</v>
      </c>
      <c r="BH166" s="8">
        <f>Granger_Inventory[[#This Row],[land_extract]]*Lookups!$B$3</f>
        <v>24733.049859725303</v>
      </c>
      <c r="BI166" s="8">
        <f>IF(Granger_Inventory[[#This Row],[bldg_style]]="",0,Lookups!$B$2)</f>
        <v>29703.559000000001</v>
      </c>
      <c r="BJ166" s="8">
        <f>_xlfn.IFNA(VLOOKUP(Granger_Inventory[[#This Row],[quality]],Lookups!$H$2:$J$14,3,FALSE),0)</f>
        <v>34195</v>
      </c>
      <c r="BK166" s="8">
        <f>_xlfn.IFNA(VLOOKUP(Granger_Inventory[[#This Row],[condition]],Lookups!$H$17:$J$24,3,FALSE),0)</f>
        <v>94106</v>
      </c>
      <c r="BL166" s="8">
        <f>Granger_Inventory[[#This Row],[Age]]*Lookups!$B$16</f>
        <v>-3524.6286999999998</v>
      </c>
      <c r="BM166" s="8">
        <f>Granger_Inventory[[#This Row],[living_area]]*Lookups!$B$17</f>
        <v>95258.439144000004</v>
      </c>
      <c r="BN166" s="8">
        <f>(Granger_Inventory[[#This Row],[att_gar]]+Granger_Inventory[[#This Row],[blt_gar]])*Lookups!$B$18</f>
        <v>12790.162704</v>
      </c>
      <c r="BO166" s="8">
        <f>Granger_Inventory[[#This Row],[Patio]]*Lookups!$B$19</f>
        <v>0</v>
      </c>
      <c r="BP166" s="8">
        <f>SUM(Granger_Inventory[[#This Row],[Intercept]:[Patio_Value]])*Granger_Inventory[[#This Row],[res_pct]]</f>
        <v>262528.53214800003</v>
      </c>
      <c r="BQ166" s="8">
        <f>Granger_Inventory[[#This Row],[land_value]]</f>
        <v>24733.049859725303</v>
      </c>
      <c r="BR166" s="4">
        <f>_xlfn.IFNA(VLOOKUP(Granger_Inventory[[#This Row],[quality]],Lookups!$A$25:$C$35,3,FALSE),1)</f>
        <v>0.98258795897788032</v>
      </c>
      <c r="BS166" s="4">
        <f>_xlfn.IFNA(VLOOKUP(Granger_Inventory[[#This Row],[condition]],Lookups!$A$38:$C$45,3,FALSE),1)</f>
        <v>0.98658583151544277</v>
      </c>
      <c r="BT166" s="4">
        <f>IF(Granger_Inventory[[#This Row],[decade]]="",1,_xlfn.IFNA(VLOOKUP(Granger_Inventory[[#This Row],[decade]],Lookups!$G$28:$I$42,3,FALSE),1))</f>
        <v>1.0159161060824455</v>
      </c>
      <c r="BU166" s="4">
        <f>_xlfn.IFNA(VLOOKUP(Granger_Inventory[[#This Row],[living_area_range]],Lookups!$A$48:$C$57,3,FALSE),1)</f>
        <v>0.97960506760539345</v>
      </c>
      <c r="BV166" s="4">
        <f>AVERAGE(Granger_Inventory[[#This Row],[qual_adj]:[living_range_adj]])</f>
        <v>0.99117374104529055</v>
      </c>
      <c r="BW166" s="8">
        <f>(Granger_Inventory[[#This Row],[sum_land]]-IF(Granger_Inventory[[#This Row],[no_utilities]]=1,12000,0))/IF(Granger_Inventory[[#This Row],[unbuildable]]=1,2,1)</f>
        <v>24733.049859725303</v>
      </c>
      <c r="BX166" s="8">
        <f>Granger_Inventory[[#This Row],[pre_res]]*Granger_Inventory[[#This Row],[overall_adj]]</f>
        <v>260211.38734026201</v>
      </c>
      <c r="BY16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166">
        <f>ROUND(Granger_Inventory[[#This Row],[detatched_value]]*Lookups!$I$45,-2)</f>
        <v>0</v>
      </c>
      <c r="CA166">
        <f>IF(ROUND(Granger_Inventory[[#This Row],[adj_res]]*Lookups!$I$45,-2)&lt;Granger_Inventory[[#This Row],[min_res]],Granger_Inventory[[#This Row],[min_res]],ROUND(Granger_Inventory[[#This Row],[adj_res]]*Lookups!$I$45,-2))</f>
        <v>247200</v>
      </c>
      <c r="CB166">
        <f>Granger_Inventory[[#This Row],[final_det]]+Granger_Inventory[[#This Row],[final_res]]</f>
        <v>247200</v>
      </c>
      <c r="CC166">
        <f>Granger_Inventory[[#This Row],[final_land]]+Granger_Inventory[[#This Row],[final_imp]]+Granger_Inventory[[#This Row],[crop_value]]</f>
        <v>270700</v>
      </c>
      <c r="CE166" t="str">
        <f t="shared" si="2"/>
        <v>update valuation set market_land =23500, market_bldg=247200, market_total =270700, market_mdno =402, market_date ='9/10/2023' where link_id = (select link_id from parcel where parcel_year = '2024' and parcel_id = '21101641559');</v>
      </c>
    </row>
    <row r="167" spans="1:83" x14ac:dyDescent="0.25">
      <c r="A167">
        <v>21101641560</v>
      </c>
      <c r="B167">
        <v>0.14000000000000001</v>
      </c>
      <c r="C167">
        <v>6100</v>
      </c>
      <c r="D167" t="s">
        <v>137</v>
      </c>
      <c r="E167" t="s">
        <v>54</v>
      </c>
      <c r="F167" t="s">
        <v>54</v>
      </c>
      <c r="G167">
        <v>3</v>
      </c>
      <c r="H167" t="s">
        <v>55</v>
      </c>
      <c r="I167">
        <v>222700</v>
      </c>
      <c r="J167">
        <v>25900</v>
      </c>
      <c r="K167">
        <v>0.14000000000000001</v>
      </c>
      <c r="L16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7">
        <v>0</v>
      </c>
      <c r="N167">
        <v>0</v>
      </c>
      <c r="O167">
        <v>0</v>
      </c>
      <c r="P167">
        <v>47108.068500000001</v>
      </c>
      <c r="Q167">
        <v>122298</v>
      </c>
      <c r="R167">
        <f>(Granger_Inventory[[#This Row],[ln_acres]]*Granger_Inventory[[#This Row],[coeff]])+Granger_Inventory[[#This Row],[const]]</f>
        <v>29678.220883257934</v>
      </c>
      <c r="S167" t="s">
        <v>69</v>
      </c>
      <c r="T167">
        <v>1</v>
      </c>
      <c r="U167" t="s">
        <v>64</v>
      </c>
      <c r="V167" t="s">
        <v>72</v>
      </c>
      <c r="W167">
        <v>0</v>
      </c>
      <c r="X167">
        <v>0</v>
      </c>
      <c r="Y167">
        <v>17</v>
      </c>
      <c r="Z167">
        <v>17</v>
      </c>
      <c r="AA167">
        <v>20</v>
      </c>
      <c r="AB167">
        <v>1500</v>
      </c>
      <c r="AC167">
        <v>1225</v>
      </c>
      <c r="AD167">
        <v>1225</v>
      </c>
      <c r="AE167">
        <v>0</v>
      </c>
      <c r="AF167">
        <v>0</v>
      </c>
      <c r="AG167">
        <v>0</v>
      </c>
      <c r="AH167">
        <v>0</v>
      </c>
      <c r="AI167">
        <v>299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8</v>
      </c>
      <c r="AQ167">
        <v>0</v>
      </c>
      <c r="AR167">
        <v>0</v>
      </c>
      <c r="AS167" t="s">
        <v>81</v>
      </c>
      <c r="AT167">
        <v>1</v>
      </c>
      <c r="AU167" t="s">
        <v>63</v>
      </c>
      <c r="AV167" t="s">
        <v>65</v>
      </c>
      <c r="AW167">
        <v>1</v>
      </c>
      <c r="AX167">
        <v>3</v>
      </c>
      <c r="AY167">
        <v>0</v>
      </c>
      <c r="AZ167">
        <v>0</v>
      </c>
      <c r="BA167">
        <v>100</v>
      </c>
      <c r="BB167">
        <v>100</v>
      </c>
      <c r="BC167">
        <v>100</v>
      </c>
      <c r="BD167">
        <v>100</v>
      </c>
      <c r="BE167">
        <v>1</v>
      </c>
      <c r="BF167">
        <v>15000</v>
      </c>
      <c r="BG167">
        <v>1000</v>
      </c>
      <c r="BH167" s="8">
        <f>Granger_Inventory[[#This Row],[land_extract]]*Lookups!$B$3</f>
        <v>17680.230269359956</v>
      </c>
      <c r="BI167" s="8">
        <f>IF(Granger_Inventory[[#This Row],[bldg_style]]="",0,Lookups!$B$2)</f>
        <v>29703.559000000001</v>
      </c>
      <c r="BJ167" s="8">
        <f>_xlfn.IFNA(VLOOKUP(Granger_Inventory[[#This Row],[quality]],Lookups!$H$2:$J$14,3,FALSE),0)</f>
        <v>36568</v>
      </c>
      <c r="BK167" s="8">
        <f>_xlfn.IFNA(VLOOKUP(Granger_Inventory[[#This Row],[condition]],Lookups!$H$17:$J$24,3,FALSE),0)</f>
        <v>94106</v>
      </c>
      <c r="BL167" s="8">
        <f>Granger_Inventory[[#This Row],[Age]]*Lookups!$B$16</f>
        <v>-3524.6286999999998</v>
      </c>
      <c r="BM167" s="8">
        <f>Granger_Inventory[[#This Row],[living_area]]*Lookups!$B$17</f>
        <v>82409.313525000005</v>
      </c>
      <c r="BN167" s="8">
        <f>(Granger_Inventory[[#This Row],[att_gar]]+Granger_Inventory[[#This Row],[blt_gar]])*Lookups!$B$18</f>
        <v>14485.828214000001</v>
      </c>
      <c r="BO167" s="8">
        <f>Granger_Inventory[[#This Row],[Patio]]*Lookups!$B$19</f>
        <v>0</v>
      </c>
      <c r="BP167" s="8">
        <f>SUM(Granger_Inventory[[#This Row],[Intercept]:[Patio_Value]])*Granger_Inventory[[#This Row],[res_pct]]</f>
        <v>253748.07203900002</v>
      </c>
      <c r="BQ167" s="8">
        <f>Granger_Inventory[[#This Row],[land_value]]</f>
        <v>17680.230269359956</v>
      </c>
      <c r="BR167" s="4">
        <f>_xlfn.IFNA(VLOOKUP(Granger_Inventory[[#This Row],[quality]],Lookups!$A$25:$C$35,3,FALSE),1)</f>
        <v>0.99049976351917957</v>
      </c>
      <c r="BS167" s="4">
        <f>_xlfn.IFNA(VLOOKUP(Granger_Inventory[[#This Row],[condition]],Lookups!$A$38:$C$45,3,FALSE),1)</f>
        <v>0.98658583151544277</v>
      </c>
      <c r="BT167" s="4">
        <f>IF(Granger_Inventory[[#This Row],[decade]]="",1,_xlfn.IFNA(VLOOKUP(Granger_Inventory[[#This Row],[decade]],Lookups!$G$28:$I$42,3,FALSE),1))</f>
        <v>1.0159161060824455</v>
      </c>
      <c r="BU167" s="4">
        <f>_xlfn.IFNA(VLOOKUP(Granger_Inventory[[#This Row],[living_area_range]],Lookups!$A$48:$C$57,3,FALSE),1)</f>
        <v>0.97960506760539345</v>
      </c>
      <c r="BV167" s="4">
        <f>AVERAGE(Granger_Inventory[[#This Row],[qual_adj]:[living_range_adj]])</f>
        <v>0.99315169218061539</v>
      </c>
      <c r="BW167" s="8">
        <f>(Granger_Inventory[[#This Row],[sum_land]]-IF(Granger_Inventory[[#This Row],[no_utilities]]=1,12000,0))/IF(Granger_Inventory[[#This Row],[unbuildable]]=1,2,1)</f>
        <v>17680.230269359956</v>
      </c>
      <c r="BX167" s="8">
        <f>Granger_Inventory[[#This Row],[pre_res]]*Granger_Inventory[[#This Row],[overall_adj]]</f>
        <v>252010.32713310156</v>
      </c>
      <c r="BY16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7">
        <f>ROUND(Granger_Inventory[[#This Row],[detatched_value]]*Lookups!$I$45,-2)</f>
        <v>0</v>
      </c>
      <c r="CA167">
        <f>IF(ROUND(Granger_Inventory[[#This Row],[adj_res]]*Lookups!$I$45,-2)&lt;Granger_Inventory[[#This Row],[min_res]],Granger_Inventory[[#This Row],[min_res]],ROUND(Granger_Inventory[[#This Row],[adj_res]]*Lookups!$I$45,-2))</f>
        <v>239400</v>
      </c>
      <c r="CB167">
        <f>Granger_Inventory[[#This Row],[final_det]]+Granger_Inventory[[#This Row],[final_res]]</f>
        <v>239400</v>
      </c>
      <c r="CC167">
        <f>Granger_Inventory[[#This Row],[final_land]]+Granger_Inventory[[#This Row],[final_imp]]+Granger_Inventory[[#This Row],[crop_value]]</f>
        <v>256200</v>
      </c>
      <c r="CE167" t="str">
        <f t="shared" si="2"/>
        <v>update valuation set market_land =16800, market_bldg=239400, market_total =256200, market_mdno =402, market_date ='9/10/2023' where link_id = (select link_id from parcel where parcel_year = '2024' and parcel_id = '21101641560');</v>
      </c>
    </row>
    <row r="168" spans="1:83" x14ac:dyDescent="0.25">
      <c r="A168">
        <v>21101641561</v>
      </c>
      <c r="B168">
        <v>0.14000000000000001</v>
      </c>
      <c r="C168">
        <v>6100</v>
      </c>
      <c r="D168" t="s">
        <v>137</v>
      </c>
      <c r="E168" t="s">
        <v>54</v>
      </c>
      <c r="F168" t="s">
        <v>54</v>
      </c>
      <c r="G168">
        <v>3</v>
      </c>
      <c r="H168" t="s">
        <v>55</v>
      </c>
      <c r="I168">
        <v>222700</v>
      </c>
      <c r="J168">
        <v>25900</v>
      </c>
      <c r="K168">
        <v>0.14000000000000001</v>
      </c>
      <c r="L16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8">
        <v>0</v>
      </c>
      <c r="N168">
        <v>0</v>
      </c>
      <c r="O168">
        <v>0</v>
      </c>
      <c r="P168">
        <v>47108.068500000001</v>
      </c>
      <c r="Q168">
        <v>122298</v>
      </c>
      <c r="R168">
        <f>(Granger_Inventory[[#This Row],[ln_acres]]*Granger_Inventory[[#This Row],[coeff]])+Granger_Inventory[[#This Row],[const]]</f>
        <v>29678.220883257934</v>
      </c>
      <c r="S168" t="s">
        <v>69</v>
      </c>
      <c r="T168">
        <v>1</v>
      </c>
      <c r="U168" t="s">
        <v>64</v>
      </c>
      <c r="V168" t="s">
        <v>72</v>
      </c>
      <c r="W168">
        <v>0</v>
      </c>
      <c r="X168">
        <v>0</v>
      </c>
      <c r="Y168">
        <v>17</v>
      </c>
      <c r="Z168">
        <v>17</v>
      </c>
      <c r="AA168">
        <v>20</v>
      </c>
      <c r="AB168">
        <v>1500</v>
      </c>
      <c r="AC168">
        <v>1225</v>
      </c>
      <c r="AD168">
        <v>1225</v>
      </c>
      <c r="AE168">
        <v>0</v>
      </c>
      <c r="AF168">
        <v>0</v>
      </c>
      <c r="AG168">
        <v>0</v>
      </c>
      <c r="AH168">
        <v>0</v>
      </c>
      <c r="AI168">
        <v>299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8</v>
      </c>
      <c r="AQ168">
        <v>0</v>
      </c>
      <c r="AR168">
        <v>0</v>
      </c>
      <c r="AS168" t="s">
        <v>139</v>
      </c>
      <c r="AT168">
        <v>1</v>
      </c>
      <c r="AU168" t="s">
        <v>63</v>
      </c>
      <c r="AV168" t="s">
        <v>65</v>
      </c>
      <c r="AW168">
        <v>1</v>
      </c>
      <c r="AX168">
        <v>3</v>
      </c>
      <c r="AY168">
        <v>0</v>
      </c>
      <c r="AZ168">
        <v>0</v>
      </c>
      <c r="BA168">
        <v>100</v>
      </c>
      <c r="BB168">
        <v>100</v>
      </c>
      <c r="BC168">
        <v>100</v>
      </c>
      <c r="BD168">
        <v>100</v>
      </c>
      <c r="BE168">
        <v>1</v>
      </c>
      <c r="BF168">
        <v>15000</v>
      </c>
      <c r="BG168">
        <v>1000</v>
      </c>
      <c r="BH168" s="8">
        <f>Granger_Inventory[[#This Row],[land_extract]]*Lookups!$B$3</f>
        <v>17680.230269359956</v>
      </c>
      <c r="BI168" s="8">
        <f>IF(Granger_Inventory[[#This Row],[bldg_style]]="",0,Lookups!$B$2)</f>
        <v>29703.559000000001</v>
      </c>
      <c r="BJ168" s="8">
        <f>_xlfn.IFNA(VLOOKUP(Granger_Inventory[[#This Row],[quality]],Lookups!$H$2:$J$14,3,FALSE),0)</f>
        <v>36568</v>
      </c>
      <c r="BK168" s="8">
        <f>_xlfn.IFNA(VLOOKUP(Granger_Inventory[[#This Row],[condition]],Lookups!$H$17:$J$24,3,FALSE),0)</f>
        <v>94106</v>
      </c>
      <c r="BL168" s="8">
        <f>Granger_Inventory[[#This Row],[Age]]*Lookups!$B$16</f>
        <v>-3524.6286999999998</v>
      </c>
      <c r="BM168" s="8">
        <f>Granger_Inventory[[#This Row],[living_area]]*Lookups!$B$17</f>
        <v>82409.313525000005</v>
      </c>
      <c r="BN168" s="8">
        <f>(Granger_Inventory[[#This Row],[att_gar]]+Granger_Inventory[[#This Row],[blt_gar]])*Lookups!$B$18</f>
        <v>14485.828214000001</v>
      </c>
      <c r="BO168" s="8">
        <f>Granger_Inventory[[#This Row],[Patio]]*Lookups!$B$19</f>
        <v>0</v>
      </c>
      <c r="BP168" s="8">
        <f>SUM(Granger_Inventory[[#This Row],[Intercept]:[Patio_Value]])*Granger_Inventory[[#This Row],[res_pct]]</f>
        <v>253748.07203900002</v>
      </c>
      <c r="BQ168" s="8">
        <f>Granger_Inventory[[#This Row],[land_value]]</f>
        <v>17680.230269359956</v>
      </c>
      <c r="BR168" s="4">
        <f>_xlfn.IFNA(VLOOKUP(Granger_Inventory[[#This Row],[quality]],Lookups!$A$25:$C$35,3,FALSE),1)</f>
        <v>0.99049976351917957</v>
      </c>
      <c r="BS168" s="4">
        <f>_xlfn.IFNA(VLOOKUP(Granger_Inventory[[#This Row],[condition]],Lookups!$A$38:$C$45,3,FALSE),1)</f>
        <v>0.98658583151544277</v>
      </c>
      <c r="BT168" s="4">
        <f>IF(Granger_Inventory[[#This Row],[decade]]="",1,_xlfn.IFNA(VLOOKUP(Granger_Inventory[[#This Row],[decade]],Lookups!$G$28:$I$42,3,FALSE),1))</f>
        <v>1.0159161060824455</v>
      </c>
      <c r="BU168" s="4">
        <f>_xlfn.IFNA(VLOOKUP(Granger_Inventory[[#This Row],[living_area_range]],Lookups!$A$48:$C$57,3,FALSE),1)</f>
        <v>0.97960506760539345</v>
      </c>
      <c r="BV168" s="4">
        <f>AVERAGE(Granger_Inventory[[#This Row],[qual_adj]:[living_range_adj]])</f>
        <v>0.99315169218061539</v>
      </c>
      <c r="BW168" s="8">
        <f>(Granger_Inventory[[#This Row],[sum_land]]-IF(Granger_Inventory[[#This Row],[no_utilities]]=1,12000,0))/IF(Granger_Inventory[[#This Row],[unbuildable]]=1,2,1)</f>
        <v>17680.230269359956</v>
      </c>
      <c r="BX168" s="8">
        <f>Granger_Inventory[[#This Row],[pre_res]]*Granger_Inventory[[#This Row],[overall_adj]]</f>
        <v>252010.32713310156</v>
      </c>
      <c r="BY16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8">
        <f>ROUND(Granger_Inventory[[#This Row],[detatched_value]]*Lookups!$I$45,-2)</f>
        <v>0</v>
      </c>
      <c r="CA168">
        <f>IF(ROUND(Granger_Inventory[[#This Row],[adj_res]]*Lookups!$I$45,-2)&lt;Granger_Inventory[[#This Row],[min_res]],Granger_Inventory[[#This Row],[min_res]],ROUND(Granger_Inventory[[#This Row],[adj_res]]*Lookups!$I$45,-2))</f>
        <v>239400</v>
      </c>
      <c r="CB168">
        <f>Granger_Inventory[[#This Row],[final_det]]+Granger_Inventory[[#This Row],[final_res]]</f>
        <v>239400</v>
      </c>
      <c r="CC168">
        <f>Granger_Inventory[[#This Row],[final_land]]+Granger_Inventory[[#This Row],[final_imp]]+Granger_Inventory[[#This Row],[crop_value]]</f>
        <v>256200</v>
      </c>
      <c r="CE168" t="str">
        <f t="shared" si="2"/>
        <v>update valuation set market_land =16800, market_bldg=239400, market_total =256200, market_mdno =402, market_date ='9/10/2023' where link_id = (select link_id from parcel where parcel_year = '2024' and parcel_id = '21101641561');</v>
      </c>
    </row>
    <row r="169" spans="1:83" x14ac:dyDescent="0.25">
      <c r="A169">
        <v>21101641565</v>
      </c>
      <c r="B169">
        <v>0.14000000000000001</v>
      </c>
      <c r="C169">
        <v>6100</v>
      </c>
      <c r="D169" t="s">
        <v>137</v>
      </c>
      <c r="E169" t="s">
        <v>54</v>
      </c>
      <c r="F169" t="s">
        <v>54</v>
      </c>
      <c r="G169">
        <v>3</v>
      </c>
      <c r="H169" t="s">
        <v>55</v>
      </c>
      <c r="I169">
        <v>306600</v>
      </c>
      <c r="J169">
        <v>25900</v>
      </c>
      <c r="K169">
        <v>0.14000000000000001</v>
      </c>
      <c r="L16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69">
        <v>0</v>
      </c>
      <c r="N169">
        <v>0</v>
      </c>
      <c r="O169">
        <v>0</v>
      </c>
      <c r="P169">
        <v>47108.068500000001</v>
      </c>
      <c r="Q169">
        <v>122298</v>
      </c>
      <c r="R169">
        <f>(Granger_Inventory[[#This Row],[ln_acres]]*Granger_Inventory[[#This Row],[coeff]])+Granger_Inventory[[#This Row],[const]]</f>
        <v>29678.220883257934</v>
      </c>
      <c r="S169" t="s">
        <v>56</v>
      </c>
      <c r="T169">
        <v>1</v>
      </c>
      <c r="U169" t="s">
        <v>57</v>
      </c>
      <c r="V169" t="s">
        <v>70</v>
      </c>
      <c r="W169">
        <v>0</v>
      </c>
      <c r="X169">
        <v>0</v>
      </c>
      <c r="Y169">
        <v>17</v>
      </c>
      <c r="Z169">
        <v>17</v>
      </c>
      <c r="AA169">
        <v>20</v>
      </c>
      <c r="AB169">
        <v>2000</v>
      </c>
      <c r="AC169">
        <v>1680</v>
      </c>
      <c r="AD169">
        <v>1680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218</v>
      </c>
      <c r="AO169">
        <v>0</v>
      </c>
      <c r="AP169">
        <v>8</v>
      </c>
      <c r="AQ169">
        <v>0</v>
      </c>
      <c r="AR169">
        <v>0</v>
      </c>
      <c r="AS169" t="s">
        <v>59</v>
      </c>
      <c r="AT169">
        <v>1</v>
      </c>
      <c r="AU169" t="s">
        <v>63</v>
      </c>
      <c r="AV169" t="s">
        <v>65</v>
      </c>
      <c r="AW169">
        <v>1</v>
      </c>
      <c r="AX169">
        <v>4</v>
      </c>
      <c r="AY169">
        <v>0</v>
      </c>
      <c r="AZ169">
        <v>10000</v>
      </c>
      <c r="BA169">
        <v>100</v>
      </c>
      <c r="BB169">
        <v>100</v>
      </c>
      <c r="BC169">
        <v>100</v>
      </c>
      <c r="BD169">
        <v>100</v>
      </c>
      <c r="BE169">
        <v>1</v>
      </c>
      <c r="BF169">
        <v>15000</v>
      </c>
      <c r="BG169">
        <v>1000</v>
      </c>
      <c r="BH169" s="8">
        <f>Granger_Inventory[[#This Row],[land_extract]]*Lookups!$B$3</f>
        <v>17680.230269359956</v>
      </c>
      <c r="BI169" s="8">
        <f>IF(Granger_Inventory[[#This Row],[bldg_style]]="",0,Lookups!$B$2)</f>
        <v>29703.559000000001</v>
      </c>
      <c r="BJ169" s="8">
        <f>_xlfn.IFNA(VLOOKUP(Granger_Inventory[[#This Row],[quality]],Lookups!$H$2:$J$14,3,FALSE),0)</f>
        <v>56414</v>
      </c>
      <c r="BK169" s="8">
        <f>_xlfn.IFNA(VLOOKUP(Granger_Inventory[[#This Row],[condition]],Lookups!$H$17:$J$24,3,FALSE),0)</f>
        <v>80695</v>
      </c>
      <c r="BL169" s="8">
        <f>Granger_Inventory[[#This Row],[Age]]*Lookups!$B$16</f>
        <v>-3524.6286999999998</v>
      </c>
      <c r="BM169" s="8">
        <f>Granger_Inventory[[#This Row],[living_area]]*Lookups!$B$17</f>
        <v>113018.48711999999</v>
      </c>
      <c r="BN169" s="8">
        <f>(Granger_Inventory[[#This Row],[att_gar]]+Granger_Inventory[[#This Row],[blt_gar]])*Lookups!$B$18</f>
        <v>0</v>
      </c>
      <c r="BO169" s="8">
        <f>Granger_Inventory[[#This Row],[Patio]]*Lookups!$B$19</f>
        <v>0</v>
      </c>
      <c r="BP169" s="8">
        <f>SUM(Granger_Inventory[[#This Row],[Intercept]:[Patio_Value]])*Granger_Inventory[[#This Row],[res_pct]]</f>
        <v>276306.41742000001</v>
      </c>
      <c r="BQ169" s="8">
        <f>Granger_Inventory[[#This Row],[land_value]]</f>
        <v>17680.230269359956</v>
      </c>
      <c r="BR169" s="4">
        <f>_xlfn.IFNA(VLOOKUP(Granger_Inventory[[#This Row],[quality]],Lookups!$A$25:$C$35,3,FALSE),1)</f>
        <v>0.98791809110152173</v>
      </c>
      <c r="BS169" s="4">
        <f>_xlfn.IFNA(VLOOKUP(Granger_Inventory[[#This Row],[condition]],Lookups!$A$38:$C$45,3,FALSE),1)</f>
        <v>0.99484195314749324</v>
      </c>
      <c r="BT169" s="4">
        <f>IF(Granger_Inventory[[#This Row],[decade]]="",1,_xlfn.IFNA(VLOOKUP(Granger_Inventory[[#This Row],[decade]],Lookups!$G$28:$I$42,3,FALSE),1))</f>
        <v>1.0159161060824455</v>
      </c>
      <c r="BU169" s="4">
        <f>_xlfn.IFNA(VLOOKUP(Granger_Inventory[[#This Row],[living_area_range]],Lookups!$A$48:$C$57,3,FALSE),1)</f>
        <v>0.97860968051050168</v>
      </c>
      <c r="BV169" s="4">
        <f>AVERAGE(Granger_Inventory[[#This Row],[qual_adj]:[living_range_adj]])</f>
        <v>0.99432145771049063</v>
      </c>
      <c r="BW169" s="8">
        <f>(Granger_Inventory[[#This Row],[sum_land]]-IF(Granger_Inventory[[#This Row],[no_utilities]]=1,12000,0))/IF(Granger_Inventory[[#This Row],[unbuildable]]=1,2,1)</f>
        <v>17680.230269359956</v>
      </c>
      <c r="BX169" s="8">
        <f>Granger_Inventory[[#This Row],[pre_res]]*Granger_Inventory[[#This Row],[overall_adj]]</f>
        <v>274737.39974381769</v>
      </c>
      <c r="BY16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69">
        <f>ROUND(Granger_Inventory[[#This Row],[detatched_value]]*Lookups!$I$45,-2)</f>
        <v>9500</v>
      </c>
      <c r="CA169">
        <f>IF(ROUND(Granger_Inventory[[#This Row],[adj_res]]*Lookups!$I$45,-2)&lt;Granger_Inventory[[#This Row],[min_res]],Granger_Inventory[[#This Row],[min_res]],ROUND(Granger_Inventory[[#This Row],[adj_res]]*Lookups!$I$45,-2))</f>
        <v>261000</v>
      </c>
      <c r="CB169">
        <f>Granger_Inventory[[#This Row],[final_det]]+Granger_Inventory[[#This Row],[final_res]]</f>
        <v>270500</v>
      </c>
      <c r="CC169">
        <f>Granger_Inventory[[#This Row],[final_land]]+Granger_Inventory[[#This Row],[final_imp]]+Granger_Inventory[[#This Row],[crop_value]]</f>
        <v>287300</v>
      </c>
      <c r="CE169" t="str">
        <f t="shared" si="2"/>
        <v>update valuation set market_land =16800, market_bldg=270500, market_total =287300, market_mdno =402, market_date ='9/10/2023' where link_id = (select link_id from parcel where parcel_year = '2024' and parcel_id = '21101641565');</v>
      </c>
    </row>
    <row r="170" spans="1:83" x14ac:dyDescent="0.25">
      <c r="A170">
        <v>21101641566</v>
      </c>
      <c r="B170">
        <v>0.14000000000000001</v>
      </c>
      <c r="C170">
        <v>6100</v>
      </c>
      <c r="D170" t="s">
        <v>137</v>
      </c>
      <c r="E170" t="s">
        <v>54</v>
      </c>
      <c r="F170" t="s">
        <v>54</v>
      </c>
      <c r="G170">
        <v>3</v>
      </c>
      <c r="H170" t="s">
        <v>55</v>
      </c>
      <c r="I170">
        <v>230800</v>
      </c>
      <c r="J170">
        <v>25900</v>
      </c>
      <c r="K170">
        <v>0.14000000000000001</v>
      </c>
      <c r="L17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0">
        <v>0</v>
      </c>
      <c r="N170">
        <v>0</v>
      </c>
      <c r="O170">
        <v>0</v>
      </c>
      <c r="P170">
        <v>47108.068500000001</v>
      </c>
      <c r="Q170">
        <v>122298</v>
      </c>
      <c r="R170">
        <f>(Granger_Inventory[[#This Row],[ln_acres]]*Granger_Inventory[[#This Row],[coeff]])+Granger_Inventory[[#This Row],[const]]</f>
        <v>29678.220883257934</v>
      </c>
      <c r="S170" t="s">
        <v>62</v>
      </c>
      <c r="T170">
        <v>1</v>
      </c>
      <c r="U170" t="s">
        <v>64</v>
      </c>
      <c r="V170" t="s">
        <v>58</v>
      </c>
      <c r="W170">
        <v>0</v>
      </c>
      <c r="X170">
        <v>0</v>
      </c>
      <c r="Y170">
        <v>3</v>
      </c>
      <c r="Z170">
        <v>3</v>
      </c>
      <c r="AA170">
        <v>10</v>
      </c>
      <c r="AB170">
        <v>1500</v>
      </c>
      <c r="AC170">
        <v>1320</v>
      </c>
      <c r="AD170">
        <v>1320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250</v>
      </c>
      <c r="AO170">
        <v>0</v>
      </c>
      <c r="AP170">
        <v>8</v>
      </c>
      <c r="AQ170">
        <v>0</v>
      </c>
      <c r="AR170">
        <v>0</v>
      </c>
      <c r="AS170" t="s">
        <v>59</v>
      </c>
      <c r="AT170">
        <v>1</v>
      </c>
      <c r="AU170" t="s">
        <v>63</v>
      </c>
      <c r="AV170" t="s">
        <v>65</v>
      </c>
      <c r="AW170">
        <v>1</v>
      </c>
      <c r="AX170">
        <v>3</v>
      </c>
      <c r="AY170">
        <v>0</v>
      </c>
      <c r="AZ170">
        <v>0</v>
      </c>
      <c r="BA170">
        <v>100</v>
      </c>
      <c r="BB170">
        <v>100</v>
      </c>
      <c r="BC170">
        <v>100</v>
      </c>
      <c r="BD170">
        <v>100</v>
      </c>
      <c r="BE170">
        <v>1</v>
      </c>
      <c r="BF170">
        <v>15000</v>
      </c>
      <c r="BG170">
        <v>1000</v>
      </c>
      <c r="BH170" s="8">
        <f>Granger_Inventory[[#This Row],[land_extract]]*Lookups!$B$3</f>
        <v>17680.230269359956</v>
      </c>
      <c r="BI170" s="8">
        <f>IF(Granger_Inventory[[#This Row],[bldg_style]]="",0,Lookups!$B$2)</f>
        <v>29703.559000000001</v>
      </c>
      <c r="BJ170" s="8">
        <f>_xlfn.IFNA(VLOOKUP(Granger_Inventory[[#This Row],[quality]],Lookups!$H$2:$J$14,3,FALSE),0)</f>
        <v>36568</v>
      </c>
      <c r="BK170" s="8">
        <f>_xlfn.IFNA(VLOOKUP(Granger_Inventory[[#This Row],[condition]],Lookups!$H$17:$J$24,3,FALSE),0)</f>
        <v>101774</v>
      </c>
      <c r="BL170" s="8">
        <f>Granger_Inventory[[#This Row],[Age]]*Lookups!$B$16</f>
        <v>-621.99329999999998</v>
      </c>
      <c r="BM170" s="8">
        <f>Granger_Inventory[[#This Row],[living_area]]*Lookups!$B$17</f>
        <v>88800.239879999994</v>
      </c>
      <c r="BN170" s="8">
        <f>(Granger_Inventory[[#This Row],[att_gar]]+Granger_Inventory[[#This Row],[blt_gar]])*Lookups!$B$18</f>
        <v>0</v>
      </c>
      <c r="BO170" s="8">
        <f>Granger_Inventory[[#This Row],[Patio]]*Lookups!$B$19</f>
        <v>0</v>
      </c>
      <c r="BP170" s="8">
        <f>SUM(Granger_Inventory[[#This Row],[Intercept]:[Patio_Value]])*Granger_Inventory[[#This Row],[res_pct]]</f>
        <v>256223.80557999999</v>
      </c>
      <c r="BQ170" s="8">
        <f>Granger_Inventory[[#This Row],[land_value]]</f>
        <v>17680.230269359956</v>
      </c>
      <c r="BR170" s="4">
        <f>_xlfn.IFNA(VLOOKUP(Granger_Inventory[[#This Row],[quality]],Lookups!$A$25:$C$35,3,FALSE),1)</f>
        <v>0.99049976351917957</v>
      </c>
      <c r="BS170" s="4">
        <f>_xlfn.IFNA(VLOOKUP(Granger_Inventory[[#This Row],[condition]],Lookups!$A$38:$C$45,3,FALSE),1)</f>
        <v>0.99135053432734199</v>
      </c>
      <c r="BT170" s="4">
        <f>IF(Granger_Inventory[[#This Row],[decade]]="",1,_xlfn.IFNA(VLOOKUP(Granger_Inventory[[#This Row],[decade]],Lookups!$G$28:$I$42,3,FALSE),1))</f>
        <v>0.95532362136731586</v>
      </c>
      <c r="BU170" s="4">
        <f>_xlfn.IFNA(VLOOKUP(Granger_Inventory[[#This Row],[living_area_range]],Lookups!$A$48:$C$57,3,FALSE),1)</f>
        <v>0.97960506760539345</v>
      </c>
      <c r="BV170" s="4">
        <f>AVERAGE(Granger_Inventory[[#This Row],[qual_adj]:[living_range_adj]])</f>
        <v>0.97919474670480777</v>
      </c>
      <c r="BW170" s="8">
        <f>(Granger_Inventory[[#This Row],[sum_land]]-IF(Granger_Inventory[[#This Row],[no_utilities]]=1,12000,0))/IF(Granger_Inventory[[#This Row],[unbuildable]]=1,2,1)</f>
        <v>17680.230269359956</v>
      </c>
      <c r="BX170" s="8">
        <f>Granger_Inventory[[#This Row],[pre_res]]*Granger_Inventory[[#This Row],[overall_adj]]</f>
        <v>250893.00440465001</v>
      </c>
      <c r="BY17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0">
        <f>ROUND(Granger_Inventory[[#This Row],[detatched_value]]*Lookups!$I$45,-2)</f>
        <v>0</v>
      </c>
      <c r="CA170">
        <f>IF(ROUND(Granger_Inventory[[#This Row],[adj_res]]*Lookups!$I$45,-2)&lt;Granger_Inventory[[#This Row],[min_res]],Granger_Inventory[[#This Row],[min_res]],ROUND(Granger_Inventory[[#This Row],[adj_res]]*Lookups!$I$45,-2))</f>
        <v>238300</v>
      </c>
      <c r="CB170">
        <f>Granger_Inventory[[#This Row],[final_det]]+Granger_Inventory[[#This Row],[final_res]]</f>
        <v>238300</v>
      </c>
      <c r="CC170">
        <f>Granger_Inventory[[#This Row],[final_land]]+Granger_Inventory[[#This Row],[final_imp]]+Granger_Inventory[[#This Row],[crop_value]]</f>
        <v>255100</v>
      </c>
      <c r="CE170" t="str">
        <f t="shared" si="2"/>
        <v>update valuation set market_land =16800, market_bldg=238300, market_total =255100, market_mdno =402, market_date ='9/10/2023' where link_id = (select link_id from parcel where parcel_year = '2024' and parcel_id = '21101641566');</v>
      </c>
    </row>
    <row r="171" spans="1:83" x14ac:dyDescent="0.25">
      <c r="A171">
        <v>21101641567</v>
      </c>
      <c r="B171">
        <v>0.14000000000000001</v>
      </c>
      <c r="C171">
        <v>6100</v>
      </c>
      <c r="D171" t="s">
        <v>137</v>
      </c>
      <c r="E171" t="s">
        <v>54</v>
      </c>
      <c r="F171" t="s">
        <v>54</v>
      </c>
      <c r="G171">
        <v>3</v>
      </c>
      <c r="H171" t="s">
        <v>55</v>
      </c>
      <c r="I171">
        <v>167100</v>
      </c>
      <c r="J171">
        <v>25900</v>
      </c>
      <c r="K171">
        <v>0.14000000000000001</v>
      </c>
      <c r="L17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1">
        <v>0</v>
      </c>
      <c r="N171">
        <v>0</v>
      </c>
      <c r="O171">
        <v>0</v>
      </c>
      <c r="P171">
        <v>47108.068500000001</v>
      </c>
      <c r="Q171">
        <v>122298</v>
      </c>
      <c r="R171">
        <f>(Granger_Inventory[[#This Row],[ln_acres]]*Granger_Inventory[[#This Row],[coeff]])+Granger_Inventory[[#This Row],[const]]</f>
        <v>29678.220883257934</v>
      </c>
      <c r="S171" t="s">
        <v>69</v>
      </c>
      <c r="T171">
        <v>1</v>
      </c>
      <c r="U171" t="s">
        <v>71</v>
      </c>
      <c r="V171" t="s">
        <v>72</v>
      </c>
      <c r="W171">
        <v>0</v>
      </c>
      <c r="X171">
        <v>0</v>
      </c>
      <c r="Y171">
        <v>16</v>
      </c>
      <c r="Z171">
        <v>16</v>
      </c>
      <c r="AA171">
        <v>20</v>
      </c>
      <c r="AB171">
        <v>1000</v>
      </c>
      <c r="AC171">
        <v>960</v>
      </c>
      <c r="AD171">
        <v>960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5</v>
      </c>
      <c r="AQ171">
        <v>0</v>
      </c>
      <c r="AR171">
        <v>0</v>
      </c>
      <c r="AS171" t="s">
        <v>59</v>
      </c>
      <c r="AT171">
        <v>1</v>
      </c>
      <c r="AU171" t="s">
        <v>63</v>
      </c>
      <c r="AV171" t="s">
        <v>65</v>
      </c>
      <c r="AW171">
        <v>1</v>
      </c>
      <c r="AX171">
        <v>3</v>
      </c>
      <c r="AY171">
        <v>0</v>
      </c>
      <c r="AZ171">
        <v>0</v>
      </c>
      <c r="BA171">
        <v>100</v>
      </c>
      <c r="BB171">
        <v>100</v>
      </c>
      <c r="BC171">
        <v>100</v>
      </c>
      <c r="BD171">
        <v>100</v>
      </c>
      <c r="BE171">
        <v>1</v>
      </c>
      <c r="BF171">
        <v>15000</v>
      </c>
      <c r="BG171">
        <v>1000</v>
      </c>
      <c r="BH171" s="8">
        <f>Granger_Inventory[[#This Row],[land_extract]]*Lookups!$B$3</f>
        <v>17680.230269359956</v>
      </c>
      <c r="BI171" s="8">
        <f>IF(Granger_Inventory[[#This Row],[bldg_style]]="",0,Lookups!$B$2)</f>
        <v>29703.559000000001</v>
      </c>
      <c r="BJ171" s="8">
        <f>_xlfn.IFNA(VLOOKUP(Granger_Inventory[[#This Row],[quality]],Lookups!$H$2:$J$14,3,FALSE),0)</f>
        <v>34195</v>
      </c>
      <c r="BK171" s="8">
        <f>_xlfn.IFNA(VLOOKUP(Granger_Inventory[[#This Row],[condition]],Lookups!$H$17:$J$24,3,FALSE),0)</f>
        <v>94106</v>
      </c>
      <c r="BL171" s="8">
        <f>Granger_Inventory[[#This Row],[Age]]*Lookups!$B$16</f>
        <v>-3317.2975999999999</v>
      </c>
      <c r="BM171" s="8">
        <f>Granger_Inventory[[#This Row],[living_area]]*Lookups!$B$17</f>
        <v>64581.992639999997</v>
      </c>
      <c r="BN171" s="8">
        <f>(Granger_Inventory[[#This Row],[att_gar]]+Granger_Inventory[[#This Row],[blt_gar]])*Lookups!$B$18</f>
        <v>0</v>
      </c>
      <c r="BO171" s="8">
        <f>Granger_Inventory[[#This Row],[Patio]]*Lookups!$B$19</f>
        <v>0</v>
      </c>
      <c r="BP171" s="8">
        <f>SUM(Granger_Inventory[[#This Row],[Intercept]:[Patio_Value]])*Granger_Inventory[[#This Row],[res_pct]]</f>
        <v>219269.25404000003</v>
      </c>
      <c r="BQ171" s="8">
        <f>Granger_Inventory[[#This Row],[land_value]]</f>
        <v>17680.230269359956</v>
      </c>
      <c r="BR171" s="4">
        <f>_xlfn.IFNA(VLOOKUP(Granger_Inventory[[#This Row],[quality]],Lookups!$A$25:$C$35,3,FALSE),1)</f>
        <v>0.98258795897788032</v>
      </c>
      <c r="BS171" s="4">
        <f>_xlfn.IFNA(VLOOKUP(Granger_Inventory[[#This Row],[condition]],Lookups!$A$38:$C$45,3,FALSE),1)</f>
        <v>0.98658583151544277</v>
      </c>
      <c r="BT171" s="4">
        <f>IF(Granger_Inventory[[#This Row],[decade]]="",1,_xlfn.IFNA(VLOOKUP(Granger_Inventory[[#This Row],[decade]],Lookups!$G$28:$I$42,3,FALSE),1))</f>
        <v>1.0159161060824455</v>
      </c>
      <c r="BU171" s="4">
        <f>_xlfn.IFNA(VLOOKUP(Granger_Inventory[[#This Row],[living_area_range]],Lookups!$A$48:$C$57,3,FALSE),1)</f>
        <v>0.81272404900450645</v>
      </c>
      <c r="BV171" s="4">
        <f>AVERAGE(Granger_Inventory[[#This Row],[qual_adj]:[living_range_adj]])</f>
        <v>0.94945348639506877</v>
      </c>
      <c r="BW171" s="8">
        <f>(Granger_Inventory[[#This Row],[sum_land]]-IF(Granger_Inventory[[#This Row],[no_utilities]]=1,12000,0))/IF(Granger_Inventory[[#This Row],[unbuildable]]=1,2,1)</f>
        <v>17680.230269359956</v>
      </c>
      <c r="BX171" s="8">
        <f>Granger_Inventory[[#This Row],[pre_res]]*Granger_Inventory[[#This Row],[overall_adj]]</f>
        <v>208185.95770752404</v>
      </c>
      <c r="BY17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1">
        <f>ROUND(Granger_Inventory[[#This Row],[detatched_value]]*Lookups!$I$45,-2)</f>
        <v>0</v>
      </c>
      <c r="CA171">
        <f>IF(ROUND(Granger_Inventory[[#This Row],[adj_res]]*Lookups!$I$45,-2)&lt;Granger_Inventory[[#This Row],[min_res]],Granger_Inventory[[#This Row],[min_res]],ROUND(Granger_Inventory[[#This Row],[adj_res]]*Lookups!$I$45,-2))</f>
        <v>197800</v>
      </c>
      <c r="CB171">
        <f>Granger_Inventory[[#This Row],[final_det]]+Granger_Inventory[[#This Row],[final_res]]</f>
        <v>197800</v>
      </c>
      <c r="CC171">
        <f>Granger_Inventory[[#This Row],[final_land]]+Granger_Inventory[[#This Row],[final_imp]]+Granger_Inventory[[#This Row],[crop_value]]</f>
        <v>214600</v>
      </c>
      <c r="CE171" t="str">
        <f t="shared" si="2"/>
        <v>update valuation set market_land =16800, market_bldg=197800, market_total =214600, market_mdno =402, market_date ='9/10/2023' where link_id = (select link_id from parcel where parcel_year = '2024' and parcel_id = '21101641567');</v>
      </c>
    </row>
    <row r="172" spans="1:83" x14ac:dyDescent="0.25">
      <c r="A172">
        <v>21101641568</v>
      </c>
      <c r="B172">
        <v>0.14000000000000001</v>
      </c>
      <c r="C172">
        <v>6100</v>
      </c>
      <c r="D172" t="s">
        <v>137</v>
      </c>
      <c r="E172" t="s">
        <v>54</v>
      </c>
      <c r="F172" t="s">
        <v>54</v>
      </c>
      <c r="G172">
        <v>3</v>
      </c>
      <c r="H172" t="s">
        <v>55</v>
      </c>
      <c r="I172">
        <v>205600</v>
      </c>
      <c r="J172">
        <v>25900</v>
      </c>
      <c r="K172">
        <v>0.14000000000000001</v>
      </c>
      <c r="L17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2">
        <v>0</v>
      </c>
      <c r="N172">
        <v>0</v>
      </c>
      <c r="O172">
        <v>0</v>
      </c>
      <c r="P172">
        <v>47108.068500000001</v>
      </c>
      <c r="Q172">
        <v>122298</v>
      </c>
      <c r="R172">
        <f>(Granger_Inventory[[#This Row],[ln_acres]]*Granger_Inventory[[#This Row],[coeff]])+Granger_Inventory[[#This Row],[const]]</f>
        <v>29678.220883257934</v>
      </c>
      <c r="S172" t="s">
        <v>69</v>
      </c>
      <c r="T172">
        <v>1</v>
      </c>
      <c r="U172" t="s">
        <v>71</v>
      </c>
      <c r="V172" t="s">
        <v>70</v>
      </c>
      <c r="W172">
        <v>0</v>
      </c>
      <c r="X172">
        <v>0</v>
      </c>
      <c r="Y172">
        <v>14</v>
      </c>
      <c r="Z172">
        <v>14</v>
      </c>
      <c r="AA172">
        <v>20</v>
      </c>
      <c r="AB172">
        <v>1500</v>
      </c>
      <c r="AC172">
        <v>1200</v>
      </c>
      <c r="AD172">
        <v>1200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5</v>
      </c>
      <c r="AQ172">
        <v>0</v>
      </c>
      <c r="AR172">
        <v>0</v>
      </c>
      <c r="AS172" t="s">
        <v>59</v>
      </c>
      <c r="AT172">
        <v>1</v>
      </c>
      <c r="AU172" t="s">
        <v>68</v>
      </c>
      <c r="AV172" t="s">
        <v>65</v>
      </c>
      <c r="AW172">
        <v>0</v>
      </c>
      <c r="AX172">
        <v>3</v>
      </c>
      <c r="AY172">
        <v>0</v>
      </c>
      <c r="AZ172">
        <v>0</v>
      </c>
      <c r="BA172">
        <v>100</v>
      </c>
      <c r="BB172">
        <v>100</v>
      </c>
      <c r="BC172">
        <v>100</v>
      </c>
      <c r="BD172">
        <v>100</v>
      </c>
      <c r="BE172">
        <v>1</v>
      </c>
      <c r="BF172">
        <v>15000</v>
      </c>
      <c r="BG172">
        <v>1000</v>
      </c>
      <c r="BH172" s="8">
        <f>Granger_Inventory[[#This Row],[land_extract]]*Lookups!$B$3</f>
        <v>17680.230269359956</v>
      </c>
      <c r="BI172" s="8">
        <f>IF(Granger_Inventory[[#This Row],[bldg_style]]="",0,Lookups!$B$2)</f>
        <v>29703.559000000001</v>
      </c>
      <c r="BJ172" s="8">
        <f>_xlfn.IFNA(VLOOKUP(Granger_Inventory[[#This Row],[quality]],Lookups!$H$2:$J$14,3,FALSE),0)</f>
        <v>34195</v>
      </c>
      <c r="BK172" s="8">
        <f>_xlfn.IFNA(VLOOKUP(Granger_Inventory[[#This Row],[condition]],Lookups!$H$17:$J$24,3,FALSE),0)</f>
        <v>80695</v>
      </c>
      <c r="BL172" s="8">
        <f>Granger_Inventory[[#This Row],[Age]]*Lookups!$B$16</f>
        <v>-2902.6354000000001</v>
      </c>
      <c r="BM172" s="8">
        <f>Granger_Inventory[[#This Row],[living_area]]*Lookups!$B$17</f>
        <v>80727.4908</v>
      </c>
      <c r="BN172" s="8">
        <f>(Granger_Inventory[[#This Row],[att_gar]]+Granger_Inventory[[#This Row],[blt_gar]])*Lookups!$B$18</f>
        <v>0</v>
      </c>
      <c r="BO172" s="8">
        <f>Granger_Inventory[[#This Row],[Patio]]*Lookups!$B$19</f>
        <v>0</v>
      </c>
      <c r="BP172" s="8">
        <f>SUM(Granger_Inventory[[#This Row],[Intercept]:[Patio_Value]])*Granger_Inventory[[#This Row],[res_pct]]</f>
        <v>222418.41440000001</v>
      </c>
      <c r="BQ172" s="8">
        <f>Granger_Inventory[[#This Row],[land_value]]</f>
        <v>17680.230269359956</v>
      </c>
      <c r="BR172" s="4">
        <f>_xlfn.IFNA(VLOOKUP(Granger_Inventory[[#This Row],[quality]],Lookups!$A$25:$C$35,3,FALSE),1)</f>
        <v>0.98258795897788032</v>
      </c>
      <c r="BS172" s="4">
        <f>_xlfn.IFNA(VLOOKUP(Granger_Inventory[[#This Row],[condition]],Lookups!$A$38:$C$45,3,FALSE),1)</f>
        <v>0.99484195314749324</v>
      </c>
      <c r="BT172" s="4">
        <f>IF(Granger_Inventory[[#This Row],[decade]]="",1,_xlfn.IFNA(VLOOKUP(Granger_Inventory[[#This Row],[decade]],Lookups!$G$28:$I$42,3,FALSE),1))</f>
        <v>1.0159161060824455</v>
      </c>
      <c r="BU172" s="4">
        <f>_xlfn.IFNA(VLOOKUP(Granger_Inventory[[#This Row],[living_area_range]],Lookups!$A$48:$C$57,3,FALSE),1)</f>
        <v>0.97960506760539345</v>
      </c>
      <c r="BV172" s="4">
        <f>AVERAGE(Granger_Inventory[[#This Row],[qual_adj]:[living_range_adj]])</f>
        <v>0.99323777145330316</v>
      </c>
      <c r="BW172" s="8">
        <f>(Granger_Inventory[[#This Row],[sum_land]]-IF(Granger_Inventory[[#This Row],[no_utilities]]=1,12000,0))/IF(Granger_Inventory[[#This Row],[unbuildable]]=1,2,1)</f>
        <v>17680.230269359956</v>
      </c>
      <c r="BX172" s="8">
        <f>Granger_Inventory[[#This Row],[pre_res]]*Granger_Inventory[[#This Row],[overall_adj]]</f>
        <v>220914.37024883329</v>
      </c>
      <c r="BY17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2">
        <f>ROUND(Granger_Inventory[[#This Row],[detatched_value]]*Lookups!$I$45,-2)</f>
        <v>0</v>
      </c>
      <c r="CA172">
        <f>IF(ROUND(Granger_Inventory[[#This Row],[adj_res]]*Lookups!$I$45,-2)&lt;Granger_Inventory[[#This Row],[min_res]],Granger_Inventory[[#This Row],[min_res]],ROUND(Granger_Inventory[[#This Row],[adj_res]]*Lookups!$I$45,-2))</f>
        <v>209900</v>
      </c>
      <c r="CB172">
        <f>Granger_Inventory[[#This Row],[final_det]]+Granger_Inventory[[#This Row],[final_res]]</f>
        <v>209900</v>
      </c>
      <c r="CC172">
        <f>Granger_Inventory[[#This Row],[final_land]]+Granger_Inventory[[#This Row],[final_imp]]+Granger_Inventory[[#This Row],[crop_value]]</f>
        <v>226700</v>
      </c>
      <c r="CE172" t="str">
        <f t="shared" si="2"/>
        <v>update valuation set market_land =16800, market_bldg=209900, market_total =226700, market_mdno =402, market_date ='9/10/2023' where link_id = (select link_id from parcel where parcel_year = '2024' and parcel_id = '21101641568');</v>
      </c>
    </row>
    <row r="173" spans="1:83" x14ac:dyDescent="0.25">
      <c r="A173">
        <v>21101641569</v>
      </c>
      <c r="B173">
        <v>0.14000000000000001</v>
      </c>
      <c r="C173">
        <v>6113</v>
      </c>
      <c r="D173" t="s">
        <v>137</v>
      </c>
      <c r="E173" t="s">
        <v>54</v>
      </c>
      <c r="F173" t="s">
        <v>54</v>
      </c>
      <c r="G173">
        <v>3</v>
      </c>
      <c r="H173" t="s">
        <v>55</v>
      </c>
      <c r="I173">
        <v>205600</v>
      </c>
      <c r="J173">
        <v>25900</v>
      </c>
      <c r="K173">
        <v>0.14000000000000001</v>
      </c>
      <c r="L17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3">
        <v>0</v>
      </c>
      <c r="N173">
        <v>0</v>
      </c>
      <c r="O173">
        <v>0</v>
      </c>
      <c r="P173">
        <v>47108.068500000001</v>
      </c>
      <c r="Q173">
        <v>122298</v>
      </c>
      <c r="R173">
        <f>(Granger_Inventory[[#This Row],[ln_acres]]*Granger_Inventory[[#This Row],[coeff]])+Granger_Inventory[[#This Row],[const]]</f>
        <v>29678.220883257934</v>
      </c>
      <c r="S173" t="s">
        <v>69</v>
      </c>
      <c r="T173">
        <v>1</v>
      </c>
      <c r="U173" t="s">
        <v>71</v>
      </c>
      <c r="V173" t="s">
        <v>70</v>
      </c>
      <c r="W173">
        <v>0</v>
      </c>
      <c r="X173">
        <v>0</v>
      </c>
      <c r="Y173">
        <v>14</v>
      </c>
      <c r="Z173">
        <v>14</v>
      </c>
      <c r="AA173">
        <v>20</v>
      </c>
      <c r="AB173">
        <v>1500</v>
      </c>
      <c r="AC173">
        <v>1200</v>
      </c>
      <c r="AD173">
        <v>1200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5</v>
      </c>
      <c r="AQ173">
        <v>0</v>
      </c>
      <c r="AR173">
        <v>0</v>
      </c>
      <c r="AS173" t="s">
        <v>59</v>
      </c>
      <c r="AT173">
        <v>1</v>
      </c>
      <c r="AU173" t="s">
        <v>68</v>
      </c>
      <c r="AV173" t="s">
        <v>65</v>
      </c>
      <c r="AW173">
        <v>0</v>
      </c>
      <c r="AX173">
        <v>3</v>
      </c>
      <c r="AY173">
        <v>0</v>
      </c>
      <c r="AZ173">
        <v>0</v>
      </c>
      <c r="BA173">
        <v>100</v>
      </c>
      <c r="BB173">
        <v>100</v>
      </c>
      <c r="BC173">
        <v>100</v>
      </c>
      <c r="BD173">
        <v>100</v>
      </c>
      <c r="BE173">
        <v>1</v>
      </c>
      <c r="BF173">
        <v>15000</v>
      </c>
      <c r="BG173">
        <v>1000</v>
      </c>
      <c r="BH173" s="8">
        <f>Granger_Inventory[[#This Row],[land_extract]]*Lookups!$B$3</f>
        <v>17680.230269359956</v>
      </c>
      <c r="BI173" s="8">
        <f>IF(Granger_Inventory[[#This Row],[bldg_style]]="",0,Lookups!$B$2)</f>
        <v>29703.559000000001</v>
      </c>
      <c r="BJ173" s="8">
        <f>_xlfn.IFNA(VLOOKUP(Granger_Inventory[[#This Row],[quality]],Lookups!$H$2:$J$14,3,FALSE),0)</f>
        <v>34195</v>
      </c>
      <c r="BK173" s="8">
        <f>_xlfn.IFNA(VLOOKUP(Granger_Inventory[[#This Row],[condition]],Lookups!$H$17:$J$24,3,FALSE),0)</f>
        <v>80695</v>
      </c>
      <c r="BL173" s="8">
        <f>Granger_Inventory[[#This Row],[Age]]*Lookups!$B$16</f>
        <v>-2902.6354000000001</v>
      </c>
      <c r="BM173" s="8">
        <f>Granger_Inventory[[#This Row],[living_area]]*Lookups!$B$17</f>
        <v>80727.4908</v>
      </c>
      <c r="BN173" s="8">
        <f>(Granger_Inventory[[#This Row],[att_gar]]+Granger_Inventory[[#This Row],[blt_gar]])*Lookups!$B$18</f>
        <v>0</v>
      </c>
      <c r="BO173" s="8">
        <f>Granger_Inventory[[#This Row],[Patio]]*Lookups!$B$19</f>
        <v>0</v>
      </c>
      <c r="BP173" s="8">
        <f>SUM(Granger_Inventory[[#This Row],[Intercept]:[Patio_Value]])*Granger_Inventory[[#This Row],[res_pct]]</f>
        <v>222418.41440000001</v>
      </c>
      <c r="BQ173" s="8">
        <f>Granger_Inventory[[#This Row],[land_value]]</f>
        <v>17680.230269359956</v>
      </c>
      <c r="BR173" s="4">
        <f>_xlfn.IFNA(VLOOKUP(Granger_Inventory[[#This Row],[quality]],Lookups!$A$25:$C$35,3,FALSE),1)</f>
        <v>0.98258795897788032</v>
      </c>
      <c r="BS173" s="4">
        <f>_xlfn.IFNA(VLOOKUP(Granger_Inventory[[#This Row],[condition]],Lookups!$A$38:$C$45,3,FALSE),1)</f>
        <v>0.99484195314749324</v>
      </c>
      <c r="BT173" s="4">
        <f>IF(Granger_Inventory[[#This Row],[decade]]="",1,_xlfn.IFNA(VLOOKUP(Granger_Inventory[[#This Row],[decade]],Lookups!$G$28:$I$42,3,FALSE),1))</f>
        <v>1.0159161060824455</v>
      </c>
      <c r="BU173" s="4">
        <f>_xlfn.IFNA(VLOOKUP(Granger_Inventory[[#This Row],[living_area_range]],Lookups!$A$48:$C$57,3,FALSE),1)</f>
        <v>0.97960506760539345</v>
      </c>
      <c r="BV173" s="4">
        <f>AVERAGE(Granger_Inventory[[#This Row],[qual_adj]:[living_range_adj]])</f>
        <v>0.99323777145330316</v>
      </c>
      <c r="BW173" s="8">
        <f>(Granger_Inventory[[#This Row],[sum_land]]-IF(Granger_Inventory[[#This Row],[no_utilities]]=1,12000,0))/IF(Granger_Inventory[[#This Row],[unbuildable]]=1,2,1)</f>
        <v>17680.230269359956</v>
      </c>
      <c r="BX173" s="8">
        <f>Granger_Inventory[[#This Row],[pre_res]]*Granger_Inventory[[#This Row],[overall_adj]]</f>
        <v>220914.37024883329</v>
      </c>
      <c r="BY17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3">
        <f>ROUND(Granger_Inventory[[#This Row],[detatched_value]]*Lookups!$I$45,-2)</f>
        <v>0</v>
      </c>
      <c r="CA173">
        <f>IF(ROUND(Granger_Inventory[[#This Row],[adj_res]]*Lookups!$I$45,-2)&lt;Granger_Inventory[[#This Row],[min_res]],Granger_Inventory[[#This Row],[min_res]],ROUND(Granger_Inventory[[#This Row],[adj_res]]*Lookups!$I$45,-2))</f>
        <v>209900</v>
      </c>
      <c r="CB173">
        <f>Granger_Inventory[[#This Row],[final_det]]+Granger_Inventory[[#This Row],[final_res]]</f>
        <v>209900</v>
      </c>
      <c r="CC173">
        <f>Granger_Inventory[[#This Row],[final_land]]+Granger_Inventory[[#This Row],[final_imp]]+Granger_Inventory[[#This Row],[crop_value]]</f>
        <v>226700</v>
      </c>
      <c r="CE173" t="str">
        <f t="shared" si="2"/>
        <v>update valuation set market_land =16800, market_bldg=209900, market_total =226700, market_mdno =402, market_date ='9/10/2023' where link_id = (select link_id from parcel where parcel_year = '2024' and parcel_id = '21101641569');</v>
      </c>
    </row>
    <row r="174" spans="1:83" x14ac:dyDescent="0.25">
      <c r="A174">
        <v>21101641570</v>
      </c>
      <c r="B174">
        <v>0.14000000000000001</v>
      </c>
      <c r="C174">
        <v>6124</v>
      </c>
      <c r="D174" t="s">
        <v>137</v>
      </c>
      <c r="E174" t="s">
        <v>54</v>
      </c>
      <c r="F174" t="s">
        <v>54</v>
      </c>
      <c r="G174">
        <v>3</v>
      </c>
      <c r="H174" t="s">
        <v>55</v>
      </c>
      <c r="I174">
        <v>243300</v>
      </c>
      <c r="J174">
        <v>25900</v>
      </c>
      <c r="K174">
        <v>0.14000000000000001</v>
      </c>
      <c r="L17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4">
        <v>0</v>
      </c>
      <c r="N174">
        <v>0</v>
      </c>
      <c r="O174">
        <v>0</v>
      </c>
      <c r="P174">
        <v>47108.068500000001</v>
      </c>
      <c r="Q174">
        <v>122298</v>
      </c>
      <c r="R174">
        <f>(Granger_Inventory[[#This Row],[ln_acres]]*Granger_Inventory[[#This Row],[coeff]])+Granger_Inventory[[#This Row],[const]]</f>
        <v>29678.220883257934</v>
      </c>
      <c r="S174" t="s">
        <v>56</v>
      </c>
      <c r="T174">
        <v>1</v>
      </c>
      <c r="U174" t="s">
        <v>71</v>
      </c>
      <c r="V174" t="s">
        <v>72</v>
      </c>
      <c r="W174">
        <v>0</v>
      </c>
      <c r="X174">
        <v>0</v>
      </c>
      <c r="Y174">
        <v>17</v>
      </c>
      <c r="Z174">
        <v>17</v>
      </c>
      <c r="AA174">
        <v>20</v>
      </c>
      <c r="AB174">
        <v>1500</v>
      </c>
      <c r="AC174">
        <v>1440</v>
      </c>
      <c r="AD174">
        <v>1440</v>
      </c>
      <c r="AE174">
        <v>0</v>
      </c>
      <c r="AF174">
        <v>0</v>
      </c>
      <c r="AG174">
        <v>0</v>
      </c>
      <c r="AH174">
        <v>0</v>
      </c>
      <c r="AI174">
        <v>264</v>
      </c>
      <c r="AJ174">
        <v>0</v>
      </c>
      <c r="AK174">
        <v>0</v>
      </c>
      <c r="AL174">
        <v>0</v>
      </c>
      <c r="AM174">
        <v>0</v>
      </c>
      <c r="AN174">
        <v>150</v>
      </c>
      <c r="AO174">
        <v>0</v>
      </c>
      <c r="AP174">
        <v>11</v>
      </c>
      <c r="AQ174">
        <v>0</v>
      </c>
      <c r="AR174">
        <v>0</v>
      </c>
      <c r="AS174" t="s">
        <v>59</v>
      </c>
      <c r="AT174">
        <v>1</v>
      </c>
      <c r="AU174" t="s">
        <v>63</v>
      </c>
      <c r="AV174" t="s">
        <v>65</v>
      </c>
      <c r="AW174">
        <v>1</v>
      </c>
      <c r="AX174">
        <v>4</v>
      </c>
      <c r="AY174">
        <v>0</v>
      </c>
      <c r="AZ174">
        <v>0</v>
      </c>
      <c r="BA174">
        <v>100</v>
      </c>
      <c r="BB174">
        <v>100</v>
      </c>
      <c r="BC174">
        <v>100</v>
      </c>
      <c r="BD174">
        <v>100</v>
      </c>
      <c r="BE174">
        <v>1</v>
      </c>
      <c r="BF174">
        <v>15000</v>
      </c>
      <c r="BG174">
        <v>1000</v>
      </c>
      <c r="BH174" s="8">
        <f>Granger_Inventory[[#This Row],[land_extract]]*Lookups!$B$3</f>
        <v>17680.230269359956</v>
      </c>
      <c r="BI174" s="8">
        <f>IF(Granger_Inventory[[#This Row],[bldg_style]]="",0,Lookups!$B$2)</f>
        <v>29703.559000000001</v>
      </c>
      <c r="BJ174" s="8">
        <f>_xlfn.IFNA(VLOOKUP(Granger_Inventory[[#This Row],[quality]],Lookups!$H$2:$J$14,3,FALSE),0)</f>
        <v>34195</v>
      </c>
      <c r="BK174" s="8">
        <f>_xlfn.IFNA(VLOOKUP(Granger_Inventory[[#This Row],[condition]],Lookups!$H$17:$J$24,3,FALSE),0)</f>
        <v>94106</v>
      </c>
      <c r="BL174" s="8">
        <f>Granger_Inventory[[#This Row],[Age]]*Lookups!$B$16</f>
        <v>-3524.6286999999998</v>
      </c>
      <c r="BM174" s="8">
        <f>Granger_Inventory[[#This Row],[living_area]]*Lookups!$B$17</f>
        <v>96872.988960000002</v>
      </c>
      <c r="BN174" s="8">
        <f>(Granger_Inventory[[#This Row],[att_gar]]+Granger_Inventory[[#This Row],[blt_gar]])*Lookups!$B$18</f>
        <v>12790.162704</v>
      </c>
      <c r="BO174" s="8">
        <f>Granger_Inventory[[#This Row],[Patio]]*Lookups!$B$19</f>
        <v>0</v>
      </c>
      <c r="BP174" s="8">
        <f>SUM(Granger_Inventory[[#This Row],[Intercept]:[Patio_Value]])*Granger_Inventory[[#This Row],[res_pct]]</f>
        <v>264143.08196400001</v>
      </c>
      <c r="BQ174" s="8">
        <f>Granger_Inventory[[#This Row],[land_value]]</f>
        <v>17680.230269359956</v>
      </c>
      <c r="BR174" s="4">
        <f>_xlfn.IFNA(VLOOKUP(Granger_Inventory[[#This Row],[quality]],Lookups!$A$25:$C$35,3,FALSE),1)</f>
        <v>0.98258795897788032</v>
      </c>
      <c r="BS174" s="4">
        <f>_xlfn.IFNA(VLOOKUP(Granger_Inventory[[#This Row],[condition]],Lookups!$A$38:$C$45,3,FALSE),1)</f>
        <v>0.98658583151544277</v>
      </c>
      <c r="BT174" s="4">
        <f>IF(Granger_Inventory[[#This Row],[decade]]="",1,_xlfn.IFNA(VLOOKUP(Granger_Inventory[[#This Row],[decade]],Lookups!$G$28:$I$42,3,FALSE),1))</f>
        <v>1.0159161060824455</v>
      </c>
      <c r="BU174" s="4">
        <f>_xlfn.IFNA(VLOOKUP(Granger_Inventory[[#This Row],[living_area_range]],Lookups!$A$48:$C$57,3,FALSE),1)</f>
        <v>0.97960506760539345</v>
      </c>
      <c r="BV174" s="4">
        <f>AVERAGE(Granger_Inventory[[#This Row],[qual_adj]:[living_range_adj]])</f>
        <v>0.99117374104529055</v>
      </c>
      <c r="BW174" s="8">
        <f>(Granger_Inventory[[#This Row],[sum_land]]-IF(Granger_Inventory[[#This Row],[no_utilities]]=1,12000,0))/IF(Granger_Inventory[[#This Row],[unbuildable]]=1,2,1)</f>
        <v>17680.230269359956</v>
      </c>
      <c r="BX174" s="8">
        <f>Granger_Inventory[[#This Row],[pre_res]]*Granger_Inventory[[#This Row],[overall_adj]]</f>
        <v>261811.6867214907</v>
      </c>
      <c r="BY17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4">
        <f>ROUND(Granger_Inventory[[#This Row],[detatched_value]]*Lookups!$I$45,-2)</f>
        <v>0</v>
      </c>
      <c r="CA174">
        <f>IF(ROUND(Granger_Inventory[[#This Row],[adj_res]]*Lookups!$I$45,-2)&lt;Granger_Inventory[[#This Row],[min_res]],Granger_Inventory[[#This Row],[min_res]],ROUND(Granger_Inventory[[#This Row],[adj_res]]*Lookups!$I$45,-2))</f>
        <v>248700</v>
      </c>
      <c r="CB174">
        <f>Granger_Inventory[[#This Row],[final_det]]+Granger_Inventory[[#This Row],[final_res]]</f>
        <v>248700</v>
      </c>
      <c r="CC174">
        <f>Granger_Inventory[[#This Row],[final_land]]+Granger_Inventory[[#This Row],[final_imp]]+Granger_Inventory[[#This Row],[crop_value]]</f>
        <v>265500</v>
      </c>
      <c r="CE174" t="str">
        <f t="shared" si="2"/>
        <v>update valuation set market_land =16800, market_bldg=248700, market_total =265500, market_mdno =402, market_date ='9/10/2023' where link_id = (select link_id from parcel where parcel_year = '2024' and parcel_id = '21101641570');</v>
      </c>
    </row>
    <row r="175" spans="1:83" x14ac:dyDescent="0.25">
      <c r="A175">
        <v>21101641571</v>
      </c>
      <c r="B175">
        <v>0.18</v>
      </c>
      <c r="C175">
        <v>7942</v>
      </c>
      <c r="D175" t="s">
        <v>137</v>
      </c>
      <c r="E175" t="s">
        <v>54</v>
      </c>
      <c r="F175" t="s">
        <v>54</v>
      </c>
      <c r="G175">
        <v>3</v>
      </c>
      <c r="H175" t="s">
        <v>55</v>
      </c>
      <c r="I175">
        <v>205100</v>
      </c>
      <c r="J175">
        <v>27400</v>
      </c>
      <c r="K175">
        <v>0.18</v>
      </c>
      <c r="L175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175">
        <v>0</v>
      </c>
      <c r="N175">
        <v>0</v>
      </c>
      <c r="O175">
        <v>0</v>
      </c>
      <c r="P175">
        <v>47108.068500000001</v>
      </c>
      <c r="Q175">
        <v>122298</v>
      </c>
      <c r="R175">
        <f>(Granger_Inventory[[#This Row],[ln_acres]]*Granger_Inventory[[#This Row],[coeff]])+Granger_Inventory[[#This Row],[const]]</f>
        <v>41517.1581857532</v>
      </c>
      <c r="S175" t="s">
        <v>69</v>
      </c>
      <c r="T175">
        <v>1</v>
      </c>
      <c r="U175" t="s">
        <v>64</v>
      </c>
      <c r="V175" t="s">
        <v>70</v>
      </c>
      <c r="W175">
        <v>0</v>
      </c>
      <c r="X175">
        <v>0</v>
      </c>
      <c r="Y175">
        <v>15</v>
      </c>
      <c r="Z175">
        <v>15</v>
      </c>
      <c r="AA175">
        <v>20</v>
      </c>
      <c r="AB175">
        <v>1500</v>
      </c>
      <c r="AC175">
        <v>1200</v>
      </c>
      <c r="AD175">
        <v>1200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5</v>
      </c>
      <c r="AQ175">
        <v>0</v>
      </c>
      <c r="AR175">
        <v>0</v>
      </c>
      <c r="AS175" t="s">
        <v>59</v>
      </c>
      <c r="AT175">
        <v>1</v>
      </c>
      <c r="AU175" t="s">
        <v>63</v>
      </c>
      <c r="AV175" t="s">
        <v>65</v>
      </c>
      <c r="AW175">
        <v>1</v>
      </c>
      <c r="AX175">
        <v>3</v>
      </c>
      <c r="AY175">
        <v>0</v>
      </c>
      <c r="AZ175">
        <v>0</v>
      </c>
      <c r="BA175">
        <v>100</v>
      </c>
      <c r="BB175">
        <v>100</v>
      </c>
      <c r="BC175">
        <v>100</v>
      </c>
      <c r="BD175">
        <v>100</v>
      </c>
      <c r="BE175">
        <v>1</v>
      </c>
      <c r="BF175">
        <v>15000</v>
      </c>
      <c r="BG175">
        <v>1000</v>
      </c>
      <c r="BH175" s="8">
        <f>Granger_Inventory[[#This Row],[land_extract]]*Lookups!$B$3</f>
        <v>24733.049859725303</v>
      </c>
      <c r="BI175" s="8">
        <f>IF(Granger_Inventory[[#This Row],[bldg_style]]="",0,Lookups!$B$2)</f>
        <v>29703.559000000001</v>
      </c>
      <c r="BJ175" s="8">
        <f>_xlfn.IFNA(VLOOKUP(Granger_Inventory[[#This Row],[quality]],Lookups!$H$2:$J$14,3,FALSE),0)</f>
        <v>36568</v>
      </c>
      <c r="BK175" s="8">
        <f>_xlfn.IFNA(VLOOKUP(Granger_Inventory[[#This Row],[condition]],Lookups!$H$17:$J$24,3,FALSE),0)</f>
        <v>80695</v>
      </c>
      <c r="BL175" s="8">
        <f>Granger_Inventory[[#This Row],[Age]]*Lookups!$B$16</f>
        <v>-3109.9665</v>
      </c>
      <c r="BM175" s="8">
        <f>Granger_Inventory[[#This Row],[living_area]]*Lookups!$B$17</f>
        <v>80727.4908</v>
      </c>
      <c r="BN175" s="8">
        <f>(Granger_Inventory[[#This Row],[att_gar]]+Granger_Inventory[[#This Row],[blt_gar]])*Lookups!$B$18</f>
        <v>0</v>
      </c>
      <c r="BO175" s="8">
        <f>Granger_Inventory[[#This Row],[Patio]]*Lookups!$B$19</f>
        <v>0</v>
      </c>
      <c r="BP175" s="8">
        <f>SUM(Granger_Inventory[[#This Row],[Intercept]:[Patio_Value]])*Granger_Inventory[[#This Row],[res_pct]]</f>
        <v>224584.0833</v>
      </c>
      <c r="BQ175" s="8">
        <f>Granger_Inventory[[#This Row],[land_value]]</f>
        <v>24733.049859725303</v>
      </c>
      <c r="BR175" s="4">
        <f>_xlfn.IFNA(VLOOKUP(Granger_Inventory[[#This Row],[quality]],Lookups!$A$25:$C$35,3,FALSE),1)</f>
        <v>0.99049976351917957</v>
      </c>
      <c r="BS175" s="4">
        <f>_xlfn.IFNA(VLOOKUP(Granger_Inventory[[#This Row],[condition]],Lookups!$A$38:$C$45,3,FALSE),1)</f>
        <v>0.99484195314749324</v>
      </c>
      <c r="BT175" s="4">
        <f>IF(Granger_Inventory[[#This Row],[decade]]="",1,_xlfn.IFNA(VLOOKUP(Granger_Inventory[[#This Row],[decade]],Lookups!$G$28:$I$42,3,FALSE),1))</f>
        <v>1.0159161060824455</v>
      </c>
      <c r="BU175" s="4">
        <f>_xlfn.IFNA(VLOOKUP(Granger_Inventory[[#This Row],[living_area_range]],Lookups!$A$48:$C$57,3,FALSE),1)</f>
        <v>0.97960506760539345</v>
      </c>
      <c r="BV175" s="4">
        <f>AVERAGE(Granger_Inventory[[#This Row],[qual_adj]:[living_range_adj]])</f>
        <v>0.995215722588628</v>
      </c>
      <c r="BW175" s="8">
        <f>(Granger_Inventory[[#This Row],[sum_land]]-IF(Granger_Inventory[[#This Row],[no_utilities]]=1,12000,0))/IF(Granger_Inventory[[#This Row],[unbuildable]]=1,2,1)</f>
        <v>24733.049859725303</v>
      </c>
      <c r="BX175" s="8">
        <f>Granger_Inventory[[#This Row],[pre_res]]*Granger_Inventory[[#This Row],[overall_adj]]</f>
        <v>223509.61074331412</v>
      </c>
      <c r="BY175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175">
        <f>ROUND(Granger_Inventory[[#This Row],[detatched_value]]*Lookups!$I$45,-2)</f>
        <v>0</v>
      </c>
      <c r="CA175">
        <f>IF(ROUND(Granger_Inventory[[#This Row],[adj_res]]*Lookups!$I$45,-2)&lt;Granger_Inventory[[#This Row],[min_res]],Granger_Inventory[[#This Row],[min_res]],ROUND(Granger_Inventory[[#This Row],[adj_res]]*Lookups!$I$45,-2))</f>
        <v>212300</v>
      </c>
      <c r="CB175">
        <f>Granger_Inventory[[#This Row],[final_det]]+Granger_Inventory[[#This Row],[final_res]]</f>
        <v>212300</v>
      </c>
      <c r="CC175">
        <f>Granger_Inventory[[#This Row],[final_land]]+Granger_Inventory[[#This Row],[final_imp]]+Granger_Inventory[[#This Row],[crop_value]]</f>
        <v>235800</v>
      </c>
      <c r="CE175" t="str">
        <f t="shared" si="2"/>
        <v>update valuation set market_land =23500, market_bldg=212300, market_total =235800, market_mdno =402, market_date ='9/10/2023' where link_id = (select link_id from parcel where parcel_year = '2024' and parcel_id = '21101641571');</v>
      </c>
    </row>
    <row r="176" spans="1:83" x14ac:dyDescent="0.25">
      <c r="A176">
        <v>21101641572</v>
      </c>
      <c r="B176">
        <v>0.15</v>
      </c>
      <c r="C176">
        <v>6674</v>
      </c>
      <c r="D176" t="s">
        <v>137</v>
      </c>
      <c r="E176" t="s">
        <v>54</v>
      </c>
      <c r="F176" t="s">
        <v>54</v>
      </c>
      <c r="G176">
        <v>3</v>
      </c>
      <c r="H176" t="s">
        <v>55</v>
      </c>
      <c r="I176">
        <v>210800</v>
      </c>
      <c r="J176">
        <v>26300</v>
      </c>
      <c r="K176">
        <v>0.15</v>
      </c>
      <c r="L17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76">
        <v>0</v>
      </c>
      <c r="N176">
        <v>0</v>
      </c>
      <c r="O176">
        <v>0</v>
      </c>
      <c r="P176">
        <v>47108.068500000001</v>
      </c>
      <c r="Q176">
        <v>122298</v>
      </c>
      <c r="R176">
        <f>(Granger_Inventory[[#This Row],[ln_acres]]*Granger_Inventory[[#This Row],[coeff]])+Granger_Inventory[[#This Row],[const]]</f>
        <v>32928.341799276939</v>
      </c>
      <c r="S176" t="s">
        <v>62</v>
      </c>
      <c r="T176">
        <v>1</v>
      </c>
      <c r="U176" t="s">
        <v>64</v>
      </c>
      <c r="V176" t="s">
        <v>70</v>
      </c>
      <c r="W176">
        <v>0</v>
      </c>
      <c r="X176">
        <v>0</v>
      </c>
      <c r="Y176">
        <v>15</v>
      </c>
      <c r="Z176">
        <v>15</v>
      </c>
      <c r="AA176">
        <v>20</v>
      </c>
      <c r="AB176">
        <v>1500</v>
      </c>
      <c r="AC176">
        <v>1200</v>
      </c>
      <c r="AD176">
        <v>1200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5</v>
      </c>
      <c r="AQ176">
        <v>0</v>
      </c>
      <c r="AR176">
        <v>0</v>
      </c>
      <c r="AS176" t="s">
        <v>59</v>
      </c>
      <c r="AT176">
        <v>1</v>
      </c>
      <c r="AU176" t="s">
        <v>63</v>
      </c>
      <c r="AV176" t="s">
        <v>65</v>
      </c>
      <c r="AW176">
        <v>1</v>
      </c>
      <c r="AX176">
        <v>3</v>
      </c>
      <c r="AY176">
        <v>0</v>
      </c>
      <c r="AZ176">
        <v>0</v>
      </c>
      <c r="BA176">
        <v>100</v>
      </c>
      <c r="BB176">
        <v>100</v>
      </c>
      <c r="BC176">
        <v>100</v>
      </c>
      <c r="BD176">
        <v>100</v>
      </c>
      <c r="BE176">
        <v>1</v>
      </c>
      <c r="BF176">
        <v>15000</v>
      </c>
      <c r="BG176">
        <v>1000</v>
      </c>
      <c r="BH176" s="8">
        <f>Granger_Inventory[[#This Row],[land_extract]]*Lookups!$B$3</f>
        <v>19616.42740275669</v>
      </c>
      <c r="BI176" s="8">
        <f>IF(Granger_Inventory[[#This Row],[bldg_style]]="",0,Lookups!$B$2)</f>
        <v>29703.559000000001</v>
      </c>
      <c r="BJ176" s="8">
        <f>_xlfn.IFNA(VLOOKUP(Granger_Inventory[[#This Row],[quality]],Lookups!$H$2:$J$14,3,FALSE),0)</f>
        <v>36568</v>
      </c>
      <c r="BK176" s="8">
        <f>_xlfn.IFNA(VLOOKUP(Granger_Inventory[[#This Row],[condition]],Lookups!$H$17:$J$24,3,FALSE),0)</f>
        <v>80695</v>
      </c>
      <c r="BL176" s="8">
        <f>Granger_Inventory[[#This Row],[Age]]*Lookups!$B$16</f>
        <v>-3109.9665</v>
      </c>
      <c r="BM176" s="8">
        <f>Granger_Inventory[[#This Row],[living_area]]*Lookups!$B$17</f>
        <v>80727.4908</v>
      </c>
      <c r="BN176" s="8">
        <f>(Granger_Inventory[[#This Row],[att_gar]]+Granger_Inventory[[#This Row],[blt_gar]])*Lookups!$B$18</f>
        <v>0</v>
      </c>
      <c r="BO176" s="8">
        <f>Granger_Inventory[[#This Row],[Patio]]*Lookups!$B$19</f>
        <v>0</v>
      </c>
      <c r="BP176" s="8">
        <f>SUM(Granger_Inventory[[#This Row],[Intercept]:[Patio_Value]])*Granger_Inventory[[#This Row],[res_pct]]</f>
        <v>224584.0833</v>
      </c>
      <c r="BQ176" s="8">
        <f>Granger_Inventory[[#This Row],[land_value]]</f>
        <v>19616.42740275669</v>
      </c>
      <c r="BR176" s="4">
        <f>_xlfn.IFNA(VLOOKUP(Granger_Inventory[[#This Row],[quality]],Lookups!$A$25:$C$35,3,FALSE),1)</f>
        <v>0.99049976351917957</v>
      </c>
      <c r="BS176" s="4">
        <f>_xlfn.IFNA(VLOOKUP(Granger_Inventory[[#This Row],[condition]],Lookups!$A$38:$C$45,3,FALSE),1)</f>
        <v>0.99484195314749324</v>
      </c>
      <c r="BT176" s="4">
        <f>IF(Granger_Inventory[[#This Row],[decade]]="",1,_xlfn.IFNA(VLOOKUP(Granger_Inventory[[#This Row],[decade]],Lookups!$G$28:$I$42,3,FALSE),1))</f>
        <v>1.0159161060824455</v>
      </c>
      <c r="BU176" s="4">
        <f>_xlfn.IFNA(VLOOKUP(Granger_Inventory[[#This Row],[living_area_range]],Lookups!$A$48:$C$57,3,FALSE),1)</f>
        <v>0.97960506760539345</v>
      </c>
      <c r="BV176" s="4">
        <f>AVERAGE(Granger_Inventory[[#This Row],[qual_adj]:[living_range_adj]])</f>
        <v>0.995215722588628</v>
      </c>
      <c r="BW176" s="8">
        <f>(Granger_Inventory[[#This Row],[sum_land]]-IF(Granger_Inventory[[#This Row],[no_utilities]]=1,12000,0))/IF(Granger_Inventory[[#This Row],[unbuildable]]=1,2,1)</f>
        <v>19616.42740275669</v>
      </c>
      <c r="BX176" s="8">
        <f>Granger_Inventory[[#This Row],[pre_res]]*Granger_Inventory[[#This Row],[overall_adj]]</f>
        <v>223509.61074331412</v>
      </c>
      <c r="BY17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76">
        <f>ROUND(Granger_Inventory[[#This Row],[detatched_value]]*Lookups!$I$45,-2)</f>
        <v>0</v>
      </c>
      <c r="CA176">
        <f>IF(ROUND(Granger_Inventory[[#This Row],[adj_res]]*Lookups!$I$45,-2)&lt;Granger_Inventory[[#This Row],[min_res]],Granger_Inventory[[#This Row],[min_res]],ROUND(Granger_Inventory[[#This Row],[adj_res]]*Lookups!$I$45,-2))</f>
        <v>212300</v>
      </c>
      <c r="CB176">
        <f>Granger_Inventory[[#This Row],[final_det]]+Granger_Inventory[[#This Row],[final_res]]</f>
        <v>212300</v>
      </c>
      <c r="CC176">
        <f>Granger_Inventory[[#This Row],[final_land]]+Granger_Inventory[[#This Row],[final_imp]]+Granger_Inventory[[#This Row],[crop_value]]</f>
        <v>230900</v>
      </c>
      <c r="CE176" t="str">
        <f t="shared" si="2"/>
        <v>update valuation set market_land =18600, market_bldg=212300, market_total =230900, market_mdno =402, market_date ='9/10/2023' where link_id = (select link_id from parcel where parcel_year = '2024' and parcel_id = '21101641572');</v>
      </c>
    </row>
    <row r="177" spans="1:83" x14ac:dyDescent="0.25">
      <c r="A177">
        <v>21101641573</v>
      </c>
      <c r="B177">
        <v>0.14000000000000001</v>
      </c>
      <c r="C177">
        <v>6300</v>
      </c>
      <c r="D177" t="s">
        <v>137</v>
      </c>
      <c r="E177" t="s">
        <v>54</v>
      </c>
      <c r="F177" t="s">
        <v>54</v>
      </c>
      <c r="G177">
        <v>3</v>
      </c>
      <c r="H177" t="s">
        <v>55</v>
      </c>
      <c r="I177">
        <v>263500</v>
      </c>
      <c r="J177">
        <v>25900</v>
      </c>
      <c r="K177">
        <v>0.14000000000000001</v>
      </c>
      <c r="L17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7">
        <v>0</v>
      </c>
      <c r="N177">
        <v>0</v>
      </c>
      <c r="O177">
        <v>0</v>
      </c>
      <c r="P177">
        <v>47108.068500000001</v>
      </c>
      <c r="Q177">
        <v>122298</v>
      </c>
      <c r="R177">
        <f>(Granger_Inventory[[#This Row],[ln_acres]]*Granger_Inventory[[#This Row],[coeff]])+Granger_Inventory[[#This Row],[const]]</f>
        <v>29678.220883257934</v>
      </c>
      <c r="S177" t="s">
        <v>69</v>
      </c>
      <c r="T177">
        <v>1</v>
      </c>
      <c r="U177" t="s">
        <v>71</v>
      </c>
      <c r="V177" t="s">
        <v>72</v>
      </c>
      <c r="W177">
        <v>0</v>
      </c>
      <c r="X177">
        <v>0</v>
      </c>
      <c r="Y177">
        <v>17</v>
      </c>
      <c r="Z177">
        <v>17</v>
      </c>
      <c r="AA177">
        <v>20</v>
      </c>
      <c r="AB177">
        <v>1500</v>
      </c>
      <c r="AC177">
        <v>1416</v>
      </c>
      <c r="AD177">
        <v>1416</v>
      </c>
      <c r="AE177">
        <v>0</v>
      </c>
      <c r="AF177">
        <v>0</v>
      </c>
      <c r="AG177">
        <v>0</v>
      </c>
      <c r="AH177">
        <v>0</v>
      </c>
      <c r="AI177">
        <v>528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8</v>
      </c>
      <c r="AQ177">
        <v>0</v>
      </c>
      <c r="AR177">
        <v>0</v>
      </c>
      <c r="AS177" t="s">
        <v>59</v>
      </c>
      <c r="AT177">
        <v>1</v>
      </c>
      <c r="AU177" t="s">
        <v>63</v>
      </c>
      <c r="AV177" t="s">
        <v>65</v>
      </c>
      <c r="AW177">
        <v>1</v>
      </c>
      <c r="AX177">
        <v>4</v>
      </c>
      <c r="AY177">
        <v>0</v>
      </c>
      <c r="AZ177">
        <v>0</v>
      </c>
      <c r="BA177">
        <v>100</v>
      </c>
      <c r="BB177">
        <v>100</v>
      </c>
      <c r="BC177">
        <v>100</v>
      </c>
      <c r="BD177">
        <v>100</v>
      </c>
      <c r="BE177">
        <v>1</v>
      </c>
      <c r="BF177">
        <v>15000</v>
      </c>
      <c r="BG177">
        <v>1000</v>
      </c>
      <c r="BH177" s="8">
        <f>Granger_Inventory[[#This Row],[land_extract]]*Lookups!$B$3</f>
        <v>17680.230269359956</v>
      </c>
      <c r="BI177" s="8">
        <f>IF(Granger_Inventory[[#This Row],[bldg_style]]="",0,Lookups!$B$2)</f>
        <v>29703.559000000001</v>
      </c>
      <c r="BJ177" s="8">
        <f>_xlfn.IFNA(VLOOKUP(Granger_Inventory[[#This Row],[quality]],Lookups!$H$2:$J$14,3,FALSE),0)</f>
        <v>34195</v>
      </c>
      <c r="BK177" s="8">
        <f>_xlfn.IFNA(VLOOKUP(Granger_Inventory[[#This Row],[condition]],Lookups!$H$17:$J$24,3,FALSE),0)</f>
        <v>94106</v>
      </c>
      <c r="BL177" s="8">
        <f>Granger_Inventory[[#This Row],[Age]]*Lookups!$B$16</f>
        <v>-3524.6286999999998</v>
      </c>
      <c r="BM177" s="8">
        <f>Granger_Inventory[[#This Row],[living_area]]*Lookups!$B$17</f>
        <v>95258.439144000004</v>
      </c>
      <c r="BN177" s="8">
        <f>(Granger_Inventory[[#This Row],[att_gar]]+Granger_Inventory[[#This Row],[blt_gar]])*Lookups!$B$18</f>
        <v>25580.325408000001</v>
      </c>
      <c r="BO177" s="8">
        <f>Granger_Inventory[[#This Row],[Patio]]*Lookups!$B$19</f>
        <v>0</v>
      </c>
      <c r="BP177" s="8">
        <f>SUM(Granger_Inventory[[#This Row],[Intercept]:[Patio_Value]])*Granger_Inventory[[#This Row],[res_pct]]</f>
        <v>275318.69485199999</v>
      </c>
      <c r="BQ177" s="8">
        <f>Granger_Inventory[[#This Row],[land_value]]</f>
        <v>17680.230269359956</v>
      </c>
      <c r="BR177" s="4">
        <f>_xlfn.IFNA(VLOOKUP(Granger_Inventory[[#This Row],[quality]],Lookups!$A$25:$C$35,3,FALSE),1)</f>
        <v>0.98258795897788032</v>
      </c>
      <c r="BS177" s="4">
        <f>_xlfn.IFNA(VLOOKUP(Granger_Inventory[[#This Row],[condition]],Lookups!$A$38:$C$45,3,FALSE),1)</f>
        <v>0.98658583151544277</v>
      </c>
      <c r="BT177" s="4">
        <f>IF(Granger_Inventory[[#This Row],[decade]]="",1,_xlfn.IFNA(VLOOKUP(Granger_Inventory[[#This Row],[decade]],Lookups!$G$28:$I$42,3,FALSE),1))</f>
        <v>1.0159161060824455</v>
      </c>
      <c r="BU177" s="4">
        <f>_xlfn.IFNA(VLOOKUP(Granger_Inventory[[#This Row],[living_area_range]],Lookups!$A$48:$C$57,3,FALSE),1)</f>
        <v>0.97960506760539345</v>
      </c>
      <c r="BV177" s="4">
        <f>AVERAGE(Granger_Inventory[[#This Row],[qual_adj]:[living_range_adj]])</f>
        <v>0.99117374104529055</v>
      </c>
      <c r="BW177" s="8">
        <f>(Granger_Inventory[[#This Row],[sum_land]]-IF(Granger_Inventory[[#This Row],[no_utilities]]=1,12000,0))/IF(Granger_Inventory[[#This Row],[unbuildable]]=1,2,1)</f>
        <v>17680.230269359956</v>
      </c>
      <c r="BX177" s="8">
        <f>Granger_Inventory[[#This Row],[pre_res]]*Granger_Inventory[[#This Row],[overall_adj]]</f>
        <v>272888.66075616359</v>
      </c>
      <c r="BY17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7">
        <f>ROUND(Granger_Inventory[[#This Row],[detatched_value]]*Lookups!$I$45,-2)</f>
        <v>0</v>
      </c>
      <c r="CA177">
        <f>IF(ROUND(Granger_Inventory[[#This Row],[adj_res]]*Lookups!$I$45,-2)&lt;Granger_Inventory[[#This Row],[min_res]],Granger_Inventory[[#This Row],[min_res]],ROUND(Granger_Inventory[[#This Row],[adj_res]]*Lookups!$I$45,-2))</f>
        <v>259200</v>
      </c>
      <c r="CB177">
        <f>Granger_Inventory[[#This Row],[final_det]]+Granger_Inventory[[#This Row],[final_res]]</f>
        <v>259200</v>
      </c>
      <c r="CC177">
        <f>Granger_Inventory[[#This Row],[final_land]]+Granger_Inventory[[#This Row],[final_imp]]+Granger_Inventory[[#This Row],[crop_value]]</f>
        <v>276000</v>
      </c>
      <c r="CE177" t="str">
        <f t="shared" si="2"/>
        <v>update valuation set market_land =16800, market_bldg=259200, market_total =276000, market_mdno =402, market_date ='9/10/2023' where link_id = (select link_id from parcel where parcel_year = '2024' and parcel_id = '21101641573');</v>
      </c>
    </row>
    <row r="178" spans="1:83" x14ac:dyDescent="0.25">
      <c r="A178">
        <v>21101641574</v>
      </c>
      <c r="B178">
        <v>0.14000000000000001</v>
      </c>
      <c r="C178">
        <v>6300</v>
      </c>
      <c r="D178" t="s">
        <v>137</v>
      </c>
      <c r="E178" t="s">
        <v>54</v>
      </c>
      <c r="F178" t="s">
        <v>54</v>
      </c>
      <c r="G178">
        <v>3</v>
      </c>
      <c r="H178" t="s">
        <v>55</v>
      </c>
      <c r="I178">
        <v>205600</v>
      </c>
      <c r="J178">
        <v>25900</v>
      </c>
      <c r="K178">
        <v>0.14000000000000001</v>
      </c>
      <c r="L17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8">
        <v>0</v>
      </c>
      <c r="N178">
        <v>0</v>
      </c>
      <c r="O178">
        <v>0</v>
      </c>
      <c r="P178">
        <v>47108.068500000001</v>
      </c>
      <c r="Q178">
        <v>122298</v>
      </c>
      <c r="R178">
        <f>(Granger_Inventory[[#This Row],[ln_acres]]*Granger_Inventory[[#This Row],[coeff]])+Granger_Inventory[[#This Row],[const]]</f>
        <v>29678.220883257934</v>
      </c>
      <c r="S178" t="s">
        <v>69</v>
      </c>
      <c r="T178">
        <v>1</v>
      </c>
      <c r="U178" t="s">
        <v>71</v>
      </c>
      <c r="V178" t="s">
        <v>70</v>
      </c>
      <c r="W178">
        <v>0</v>
      </c>
      <c r="X178">
        <v>0</v>
      </c>
      <c r="Y178">
        <v>14</v>
      </c>
      <c r="Z178">
        <v>14</v>
      </c>
      <c r="AA178">
        <v>20</v>
      </c>
      <c r="AB178">
        <v>1500</v>
      </c>
      <c r="AC178">
        <v>1200</v>
      </c>
      <c r="AD178">
        <v>1200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5</v>
      </c>
      <c r="AQ178">
        <v>0</v>
      </c>
      <c r="AR178">
        <v>0</v>
      </c>
      <c r="AS178" t="s">
        <v>59</v>
      </c>
      <c r="AT178">
        <v>1</v>
      </c>
      <c r="AU178" t="s">
        <v>68</v>
      </c>
      <c r="AV178" t="s">
        <v>65</v>
      </c>
      <c r="AW178">
        <v>0</v>
      </c>
      <c r="AX178">
        <v>3</v>
      </c>
      <c r="AY178">
        <v>0</v>
      </c>
      <c r="AZ178">
        <v>0</v>
      </c>
      <c r="BA178">
        <v>100</v>
      </c>
      <c r="BB178">
        <v>100</v>
      </c>
      <c r="BC178">
        <v>100</v>
      </c>
      <c r="BD178">
        <v>100</v>
      </c>
      <c r="BE178">
        <v>1</v>
      </c>
      <c r="BF178">
        <v>15000</v>
      </c>
      <c r="BG178">
        <v>1000</v>
      </c>
      <c r="BH178" s="8">
        <f>Granger_Inventory[[#This Row],[land_extract]]*Lookups!$B$3</f>
        <v>17680.230269359956</v>
      </c>
      <c r="BI178" s="8">
        <f>IF(Granger_Inventory[[#This Row],[bldg_style]]="",0,Lookups!$B$2)</f>
        <v>29703.559000000001</v>
      </c>
      <c r="BJ178" s="8">
        <f>_xlfn.IFNA(VLOOKUP(Granger_Inventory[[#This Row],[quality]],Lookups!$H$2:$J$14,3,FALSE),0)</f>
        <v>34195</v>
      </c>
      <c r="BK178" s="8">
        <f>_xlfn.IFNA(VLOOKUP(Granger_Inventory[[#This Row],[condition]],Lookups!$H$17:$J$24,3,FALSE),0)</f>
        <v>80695</v>
      </c>
      <c r="BL178" s="8">
        <f>Granger_Inventory[[#This Row],[Age]]*Lookups!$B$16</f>
        <v>-2902.6354000000001</v>
      </c>
      <c r="BM178" s="8">
        <f>Granger_Inventory[[#This Row],[living_area]]*Lookups!$B$17</f>
        <v>80727.4908</v>
      </c>
      <c r="BN178" s="8">
        <f>(Granger_Inventory[[#This Row],[att_gar]]+Granger_Inventory[[#This Row],[blt_gar]])*Lookups!$B$18</f>
        <v>0</v>
      </c>
      <c r="BO178" s="8">
        <f>Granger_Inventory[[#This Row],[Patio]]*Lookups!$B$19</f>
        <v>0</v>
      </c>
      <c r="BP178" s="8">
        <f>SUM(Granger_Inventory[[#This Row],[Intercept]:[Patio_Value]])*Granger_Inventory[[#This Row],[res_pct]]</f>
        <v>222418.41440000001</v>
      </c>
      <c r="BQ178" s="8">
        <f>Granger_Inventory[[#This Row],[land_value]]</f>
        <v>17680.230269359956</v>
      </c>
      <c r="BR178" s="4">
        <f>_xlfn.IFNA(VLOOKUP(Granger_Inventory[[#This Row],[quality]],Lookups!$A$25:$C$35,3,FALSE),1)</f>
        <v>0.98258795897788032</v>
      </c>
      <c r="BS178" s="4">
        <f>_xlfn.IFNA(VLOOKUP(Granger_Inventory[[#This Row],[condition]],Lookups!$A$38:$C$45,3,FALSE),1)</f>
        <v>0.99484195314749324</v>
      </c>
      <c r="BT178" s="4">
        <f>IF(Granger_Inventory[[#This Row],[decade]]="",1,_xlfn.IFNA(VLOOKUP(Granger_Inventory[[#This Row],[decade]],Lookups!$G$28:$I$42,3,FALSE),1))</f>
        <v>1.0159161060824455</v>
      </c>
      <c r="BU178" s="4">
        <f>_xlfn.IFNA(VLOOKUP(Granger_Inventory[[#This Row],[living_area_range]],Lookups!$A$48:$C$57,3,FALSE),1)</f>
        <v>0.97960506760539345</v>
      </c>
      <c r="BV178" s="4">
        <f>AVERAGE(Granger_Inventory[[#This Row],[qual_adj]:[living_range_adj]])</f>
        <v>0.99323777145330316</v>
      </c>
      <c r="BW178" s="8">
        <f>(Granger_Inventory[[#This Row],[sum_land]]-IF(Granger_Inventory[[#This Row],[no_utilities]]=1,12000,0))/IF(Granger_Inventory[[#This Row],[unbuildable]]=1,2,1)</f>
        <v>17680.230269359956</v>
      </c>
      <c r="BX178" s="8">
        <f>Granger_Inventory[[#This Row],[pre_res]]*Granger_Inventory[[#This Row],[overall_adj]]</f>
        <v>220914.37024883329</v>
      </c>
      <c r="BY17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8">
        <f>ROUND(Granger_Inventory[[#This Row],[detatched_value]]*Lookups!$I$45,-2)</f>
        <v>0</v>
      </c>
      <c r="CA178">
        <f>IF(ROUND(Granger_Inventory[[#This Row],[adj_res]]*Lookups!$I$45,-2)&lt;Granger_Inventory[[#This Row],[min_res]],Granger_Inventory[[#This Row],[min_res]],ROUND(Granger_Inventory[[#This Row],[adj_res]]*Lookups!$I$45,-2))</f>
        <v>209900</v>
      </c>
      <c r="CB178">
        <f>Granger_Inventory[[#This Row],[final_det]]+Granger_Inventory[[#This Row],[final_res]]</f>
        <v>209900</v>
      </c>
      <c r="CC178">
        <f>Granger_Inventory[[#This Row],[final_land]]+Granger_Inventory[[#This Row],[final_imp]]+Granger_Inventory[[#This Row],[crop_value]]</f>
        <v>226700</v>
      </c>
      <c r="CE178" t="str">
        <f t="shared" si="2"/>
        <v>update valuation set market_land =16800, market_bldg=209900, market_total =226700, market_mdno =402, market_date ='9/10/2023' where link_id = (select link_id from parcel where parcel_year = '2024' and parcel_id = '21101641574');</v>
      </c>
    </row>
    <row r="179" spans="1:83" x14ac:dyDescent="0.25">
      <c r="A179">
        <v>21101641575</v>
      </c>
      <c r="B179">
        <v>0.14000000000000001</v>
      </c>
      <c r="C179">
        <v>6300</v>
      </c>
      <c r="D179" t="s">
        <v>137</v>
      </c>
      <c r="E179" t="s">
        <v>54</v>
      </c>
      <c r="F179" t="s">
        <v>54</v>
      </c>
      <c r="G179">
        <v>3</v>
      </c>
      <c r="H179" t="s">
        <v>55</v>
      </c>
      <c r="I179">
        <v>184700</v>
      </c>
      <c r="J179">
        <v>25900</v>
      </c>
      <c r="K179">
        <v>0.14000000000000001</v>
      </c>
      <c r="L17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79">
        <v>0</v>
      </c>
      <c r="N179">
        <v>0</v>
      </c>
      <c r="O179">
        <v>0</v>
      </c>
      <c r="P179">
        <v>47108.068500000001</v>
      </c>
      <c r="Q179">
        <v>122298</v>
      </c>
      <c r="R179">
        <f>(Granger_Inventory[[#This Row],[ln_acres]]*Granger_Inventory[[#This Row],[coeff]])+Granger_Inventory[[#This Row],[const]]</f>
        <v>29678.220883257934</v>
      </c>
      <c r="S179" t="s">
        <v>69</v>
      </c>
      <c r="T179">
        <v>1</v>
      </c>
      <c r="U179" t="s">
        <v>71</v>
      </c>
      <c r="V179" t="s">
        <v>72</v>
      </c>
      <c r="W179">
        <v>0</v>
      </c>
      <c r="X179">
        <v>0</v>
      </c>
      <c r="Y179">
        <v>14</v>
      </c>
      <c r="Z179">
        <v>14</v>
      </c>
      <c r="AA179">
        <v>20</v>
      </c>
      <c r="AB179">
        <v>1500</v>
      </c>
      <c r="AC179">
        <v>1200</v>
      </c>
      <c r="AD179">
        <v>1200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5</v>
      </c>
      <c r="AQ179">
        <v>0</v>
      </c>
      <c r="AR179">
        <v>0</v>
      </c>
      <c r="AS179" t="s">
        <v>59</v>
      </c>
      <c r="AT179">
        <v>1</v>
      </c>
      <c r="AU179" t="s">
        <v>68</v>
      </c>
      <c r="AV179" t="s">
        <v>65</v>
      </c>
      <c r="AW179">
        <v>0</v>
      </c>
      <c r="AX179">
        <v>3</v>
      </c>
      <c r="AY179">
        <v>0</v>
      </c>
      <c r="AZ179">
        <v>0</v>
      </c>
      <c r="BA179">
        <v>100</v>
      </c>
      <c r="BB179">
        <v>100</v>
      </c>
      <c r="BC179">
        <v>100</v>
      </c>
      <c r="BD179">
        <v>100</v>
      </c>
      <c r="BE179">
        <v>1</v>
      </c>
      <c r="BF179">
        <v>15000</v>
      </c>
      <c r="BG179">
        <v>1000</v>
      </c>
      <c r="BH179" s="8">
        <f>Granger_Inventory[[#This Row],[land_extract]]*Lookups!$B$3</f>
        <v>17680.230269359956</v>
      </c>
      <c r="BI179" s="8">
        <f>IF(Granger_Inventory[[#This Row],[bldg_style]]="",0,Lookups!$B$2)</f>
        <v>29703.559000000001</v>
      </c>
      <c r="BJ179" s="8">
        <f>_xlfn.IFNA(VLOOKUP(Granger_Inventory[[#This Row],[quality]],Lookups!$H$2:$J$14,3,FALSE),0)</f>
        <v>34195</v>
      </c>
      <c r="BK179" s="8">
        <f>_xlfn.IFNA(VLOOKUP(Granger_Inventory[[#This Row],[condition]],Lookups!$H$17:$J$24,3,FALSE),0)</f>
        <v>94106</v>
      </c>
      <c r="BL179" s="8">
        <f>Granger_Inventory[[#This Row],[Age]]*Lookups!$B$16</f>
        <v>-2902.6354000000001</v>
      </c>
      <c r="BM179" s="8">
        <f>Granger_Inventory[[#This Row],[living_area]]*Lookups!$B$17</f>
        <v>80727.4908</v>
      </c>
      <c r="BN179" s="8">
        <f>(Granger_Inventory[[#This Row],[att_gar]]+Granger_Inventory[[#This Row],[blt_gar]])*Lookups!$B$18</f>
        <v>0</v>
      </c>
      <c r="BO179" s="8">
        <f>Granger_Inventory[[#This Row],[Patio]]*Lookups!$B$19</f>
        <v>0</v>
      </c>
      <c r="BP179" s="8">
        <f>SUM(Granger_Inventory[[#This Row],[Intercept]:[Patio_Value]])*Granger_Inventory[[#This Row],[res_pct]]</f>
        <v>235829.41440000001</v>
      </c>
      <c r="BQ179" s="8">
        <f>Granger_Inventory[[#This Row],[land_value]]</f>
        <v>17680.230269359956</v>
      </c>
      <c r="BR179" s="4">
        <f>_xlfn.IFNA(VLOOKUP(Granger_Inventory[[#This Row],[quality]],Lookups!$A$25:$C$35,3,FALSE),1)</f>
        <v>0.98258795897788032</v>
      </c>
      <c r="BS179" s="4">
        <f>_xlfn.IFNA(VLOOKUP(Granger_Inventory[[#This Row],[condition]],Lookups!$A$38:$C$45,3,FALSE),1)</f>
        <v>0.98658583151544277</v>
      </c>
      <c r="BT179" s="4">
        <f>IF(Granger_Inventory[[#This Row],[decade]]="",1,_xlfn.IFNA(VLOOKUP(Granger_Inventory[[#This Row],[decade]],Lookups!$G$28:$I$42,3,FALSE),1))</f>
        <v>1.0159161060824455</v>
      </c>
      <c r="BU179" s="4">
        <f>_xlfn.IFNA(VLOOKUP(Granger_Inventory[[#This Row],[living_area_range]],Lookups!$A$48:$C$57,3,FALSE),1)</f>
        <v>0.97960506760539345</v>
      </c>
      <c r="BV179" s="4">
        <f>AVERAGE(Granger_Inventory[[#This Row],[qual_adj]:[living_range_adj]])</f>
        <v>0.99117374104529055</v>
      </c>
      <c r="BW179" s="8">
        <f>(Granger_Inventory[[#This Row],[sum_land]]-IF(Granger_Inventory[[#This Row],[no_utilities]]=1,12000,0))/IF(Granger_Inventory[[#This Row],[unbuildable]]=1,2,1)</f>
        <v>17680.230269359956</v>
      </c>
      <c r="BX179" s="8">
        <f>Granger_Inventory[[#This Row],[pre_res]]*Granger_Inventory[[#This Row],[overall_adj]]</f>
        <v>233747.92291936811</v>
      </c>
      <c r="BY17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79">
        <f>ROUND(Granger_Inventory[[#This Row],[detatched_value]]*Lookups!$I$45,-2)</f>
        <v>0</v>
      </c>
      <c r="CA179">
        <f>IF(ROUND(Granger_Inventory[[#This Row],[adj_res]]*Lookups!$I$45,-2)&lt;Granger_Inventory[[#This Row],[min_res]],Granger_Inventory[[#This Row],[min_res]],ROUND(Granger_Inventory[[#This Row],[adj_res]]*Lookups!$I$45,-2))</f>
        <v>222100</v>
      </c>
      <c r="CB179">
        <f>Granger_Inventory[[#This Row],[final_det]]+Granger_Inventory[[#This Row],[final_res]]</f>
        <v>222100</v>
      </c>
      <c r="CC179">
        <f>Granger_Inventory[[#This Row],[final_land]]+Granger_Inventory[[#This Row],[final_imp]]+Granger_Inventory[[#This Row],[crop_value]]</f>
        <v>238900</v>
      </c>
      <c r="CE179" t="str">
        <f t="shared" si="2"/>
        <v>update valuation set market_land =16800, market_bldg=222100, market_total =238900, market_mdno =402, market_date ='9/10/2023' where link_id = (select link_id from parcel where parcel_year = '2024' and parcel_id = '21101641575');</v>
      </c>
    </row>
    <row r="180" spans="1:83" x14ac:dyDescent="0.25">
      <c r="A180">
        <v>21101641576</v>
      </c>
      <c r="B180">
        <v>0.14000000000000001</v>
      </c>
      <c r="C180">
        <v>6300</v>
      </c>
      <c r="D180" t="s">
        <v>137</v>
      </c>
      <c r="E180" t="s">
        <v>54</v>
      </c>
      <c r="F180" t="s">
        <v>54</v>
      </c>
      <c r="G180">
        <v>3</v>
      </c>
      <c r="H180" t="s">
        <v>55</v>
      </c>
      <c r="I180">
        <v>185200</v>
      </c>
      <c r="J180">
        <v>25900</v>
      </c>
      <c r="K180">
        <v>0.14000000000000001</v>
      </c>
      <c r="L18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80">
        <v>0</v>
      </c>
      <c r="N180">
        <v>0</v>
      </c>
      <c r="O180">
        <v>0</v>
      </c>
      <c r="P180">
        <v>47108.068500000001</v>
      </c>
      <c r="Q180">
        <v>122298</v>
      </c>
      <c r="R180">
        <f>(Granger_Inventory[[#This Row],[ln_acres]]*Granger_Inventory[[#This Row],[coeff]])+Granger_Inventory[[#This Row],[const]]</f>
        <v>29678.220883257934</v>
      </c>
      <c r="S180" t="s">
        <v>69</v>
      </c>
      <c r="T180">
        <v>1</v>
      </c>
      <c r="U180" t="s">
        <v>71</v>
      </c>
      <c r="V180" t="s">
        <v>72</v>
      </c>
      <c r="W180">
        <v>0</v>
      </c>
      <c r="X180">
        <v>0</v>
      </c>
      <c r="Y180">
        <v>13</v>
      </c>
      <c r="Z180">
        <v>13</v>
      </c>
      <c r="AA180">
        <v>20</v>
      </c>
      <c r="AB180">
        <v>1500</v>
      </c>
      <c r="AC180">
        <v>1200</v>
      </c>
      <c r="AD180">
        <v>1200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5</v>
      </c>
      <c r="AQ180">
        <v>0</v>
      </c>
      <c r="AR180">
        <v>0</v>
      </c>
      <c r="AS180" t="s">
        <v>59</v>
      </c>
      <c r="AT180">
        <v>1</v>
      </c>
      <c r="AU180" t="s">
        <v>68</v>
      </c>
      <c r="AV180" t="s">
        <v>65</v>
      </c>
      <c r="AW180">
        <v>0</v>
      </c>
      <c r="AX180">
        <v>3</v>
      </c>
      <c r="AY180">
        <v>0</v>
      </c>
      <c r="AZ180">
        <v>0</v>
      </c>
      <c r="BA180">
        <v>100</v>
      </c>
      <c r="BB180">
        <v>100</v>
      </c>
      <c r="BC180">
        <v>100</v>
      </c>
      <c r="BD180">
        <v>100</v>
      </c>
      <c r="BE180">
        <v>1</v>
      </c>
      <c r="BF180">
        <v>15000</v>
      </c>
      <c r="BG180">
        <v>1000</v>
      </c>
      <c r="BH180" s="8">
        <f>Granger_Inventory[[#This Row],[land_extract]]*Lookups!$B$3</f>
        <v>17680.230269359956</v>
      </c>
      <c r="BI180" s="8">
        <f>IF(Granger_Inventory[[#This Row],[bldg_style]]="",0,Lookups!$B$2)</f>
        <v>29703.559000000001</v>
      </c>
      <c r="BJ180" s="8">
        <f>_xlfn.IFNA(VLOOKUP(Granger_Inventory[[#This Row],[quality]],Lookups!$H$2:$J$14,3,FALSE),0)</f>
        <v>34195</v>
      </c>
      <c r="BK180" s="8">
        <f>_xlfn.IFNA(VLOOKUP(Granger_Inventory[[#This Row],[condition]],Lookups!$H$17:$J$24,3,FALSE),0)</f>
        <v>94106</v>
      </c>
      <c r="BL180" s="8">
        <f>Granger_Inventory[[#This Row],[Age]]*Lookups!$B$16</f>
        <v>-2695.3042999999998</v>
      </c>
      <c r="BM180" s="8">
        <f>Granger_Inventory[[#This Row],[living_area]]*Lookups!$B$17</f>
        <v>80727.4908</v>
      </c>
      <c r="BN180" s="8">
        <f>(Granger_Inventory[[#This Row],[att_gar]]+Granger_Inventory[[#This Row],[blt_gar]])*Lookups!$B$18</f>
        <v>0</v>
      </c>
      <c r="BO180" s="8">
        <f>Granger_Inventory[[#This Row],[Patio]]*Lookups!$B$19</f>
        <v>0</v>
      </c>
      <c r="BP180" s="8">
        <f>SUM(Granger_Inventory[[#This Row],[Intercept]:[Patio_Value]])*Granger_Inventory[[#This Row],[res_pct]]</f>
        <v>236036.74550000002</v>
      </c>
      <c r="BQ180" s="8">
        <f>Granger_Inventory[[#This Row],[land_value]]</f>
        <v>17680.230269359956</v>
      </c>
      <c r="BR180" s="4">
        <f>_xlfn.IFNA(VLOOKUP(Granger_Inventory[[#This Row],[quality]],Lookups!$A$25:$C$35,3,FALSE),1)</f>
        <v>0.98258795897788032</v>
      </c>
      <c r="BS180" s="4">
        <f>_xlfn.IFNA(VLOOKUP(Granger_Inventory[[#This Row],[condition]],Lookups!$A$38:$C$45,3,FALSE),1)</f>
        <v>0.98658583151544277</v>
      </c>
      <c r="BT180" s="4">
        <f>IF(Granger_Inventory[[#This Row],[decade]]="",1,_xlfn.IFNA(VLOOKUP(Granger_Inventory[[#This Row],[decade]],Lookups!$G$28:$I$42,3,FALSE),1))</f>
        <v>1.0159161060824455</v>
      </c>
      <c r="BU180" s="4">
        <f>_xlfn.IFNA(VLOOKUP(Granger_Inventory[[#This Row],[living_area_range]],Lookups!$A$48:$C$57,3,FALSE),1)</f>
        <v>0.97960506760539345</v>
      </c>
      <c r="BV180" s="4">
        <f>AVERAGE(Granger_Inventory[[#This Row],[qual_adj]:[living_range_adj]])</f>
        <v>0.99117374104529055</v>
      </c>
      <c r="BW180" s="8">
        <f>(Granger_Inventory[[#This Row],[sum_land]]-IF(Granger_Inventory[[#This Row],[no_utilities]]=1,12000,0))/IF(Granger_Inventory[[#This Row],[unbuildable]]=1,2,1)</f>
        <v>17680.230269359956</v>
      </c>
      <c r="BX180" s="8">
        <f>Granger_Inventory[[#This Row],[pre_res]]*Granger_Inventory[[#This Row],[overall_adj]]</f>
        <v>233953.42406139016</v>
      </c>
      <c r="BY18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80">
        <f>ROUND(Granger_Inventory[[#This Row],[detatched_value]]*Lookups!$I$45,-2)</f>
        <v>0</v>
      </c>
      <c r="CA180">
        <f>IF(ROUND(Granger_Inventory[[#This Row],[adj_res]]*Lookups!$I$45,-2)&lt;Granger_Inventory[[#This Row],[min_res]],Granger_Inventory[[#This Row],[min_res]],ROUND(Granger_Inventory[[#This Row],[adj_res]]*Lookups!$I$45,-2))</f>
        <v>222300</v>
      </c>
      <c r="CB180">
        <f>Granger_Inventory[[#This Row],[final_det]]+Granger_Inventory[[#This Row],[final_res]]</f>
        <v>222300</v>
      </c>
      <c r="CC180">
        <f>Granger_Inventory[[#This Row],[final_land]]+Granger_Inventory[[#This Row],[final_imp]]+Granger_Inventory[[#This Row],[crop_value]]</f>
        <v>239100</v>
      </c>
      <c r="CE180" t="str">
        <f t="shared" si="2"/>
        <v>update valuation set market_land =16800, market_bldg=222300, market_total =239100, market_mdno =402, market_date ='9/10/2023' where link_id = (select link_id from parcel where parcel_year = '2024' and parcel_id = '21101641576');</v>
      </c>
    </row>
    <row r="181" spans="1:83" x14ac:dyDescent="0.25">
      <c r="A181">
        <v>21101641577</v>
      </c>
      <c r="B181">
        <v>0.14000000000000001</v>
      </c>
      <c r="C181">
        <v>6300</v>
      </c>
      <c r="D181" t="s">
        <v>137</v>
      </c>
      <c r="E181" t="s">
        <v>54</v>
      </c>
      <c r="F181" t="s">
        <v>54</v>
      </c>
      <c r="G181">
        <v>3</v>
      </c>
      <c r="H181" t="s">
        <v>55</v>
      </c>
      <c r="I181">
        <v>207900</v>
      </c>
      <c r="J181">
        <v>25900</v>
      </c>
      <c r="K181">
        <v>0.14000000000000001</v>
      </c>
      <c r="L18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181">
        <v>0</v>
      </c>
      <c r="N181">
        <v>0</v>
      </c>
      <c r="O181">
        <v>0</v>
      </c>
      <c r="P181">
        <v>47108.068500000001</v>
      </c>
      <c r="Q181">
        <v>122298</v>
      </c>
      <c r="R181">
        <f>(Granger_Inventory[[#This Row],[ln_acres]]*Granger_Inventory[[#This Row],[coeff]])+Granger_Inventory[[#This Row],[const]]</f>
        <v>29678.220883257934</v>
      </c>
      <c r="S181" t="s">
        <v>69</v>
      </c>
      <c r="T181">
        <v>1</v>
      </c>
      <c r="U181" t="s">
        <v>71</v>
      </c>
      <c r="V181" t="s">
        <v>70</v>
      </c>
      <c r="W181">
        <v>0</v>
      </c>
      <c r="X181">
        <v>0</v>
      </c>
      <c r="Y181">
        <v>9</v>
      </c>
      <c r="Z181">
        <v>9</v>
      </c>
      <c r="AA181">
        <v>10</v>
      </c>
      <c r="AB181">
        <v>1500</v>
      </c>
      <c r="AC181">
        <v>1200</v>
      </c>
      <c r="AD181">
        <v>1200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5</v>
      </c>
      <c r="AQ181">
        <v>0</v>
      </c>
      <c r="AR181">
        <v>0</v>
      </c>
      <c r="AS181" t="s">
        <v>59</v>
      </c>
      <c r="AT181">
        <v>1</v>
      </c>
      <c r="AU181" t="s">
        <v>68</v>
      </c>
      <c r="AV181" t="s">
        <v>65</v>
      </c>
      <c r="AW181">
        <v>0</v>
      </c>
      <c r="AX181">
        <v>3</v>
      </c>
      <c r="AY181">
        <v>0</v>
      </c>
      <c r="AZ181">
        <v>0</v>
      </c>
      <c r="BA181">
        <v>100</v>
      </c>
      <c r="BB181">
        <v>100</v>
      </c>
      <c r="BC181">
        <v>100</v>
      </c>
      <c r="BD181">
        <v>100</v>
      </c>
      <c r="BE181">
        <v>1</v>
      </c>
      <c r="BF181">
        <v>15000</v>
      </c>
      <c r="BG181">
        <v>1000</v>
      </c>
      <c r="BH181" s="8">
        <f>Granger_Inventory[[#This Row],[land_extract]]*Lookups!$B$3</f>
        <v>17680.230269359956</v>
      </c>
      <c r="BI181" s="8">
        <f>IF(Granger_Inventory[[#This Row],[bldg_style]]="",0,Lookups!$B$2)</f>
        <v>29703.559000000001</v>
      </c>
      <c r="BJ181" s="8">
        <f>_xlfn.IFNA(VLOOKUP(Granger_Inventory[[#This Row],[quality]],Lookups!$H$2:$J$14,3,FALSE),0)</f>
        <v>34195</v>
      </c>
      <c r="BK181" s="8">
        <f>_xlfn.IFNA(VLOOKUP(Granger_Inventory[[#This Row],[condition]],Lookups!$H$17:$J$24,3,FALSE),0)</f>
        <v>80695</v>
      </c>
      <c r="BL181" s="8">
        <f>Granger_Inventory[[#This Row],[Age]]*Lookups!$B$16</f>
        <v>-1865.9798999999998</v>
      </c>
      <c r="BM181" s="8">
        <f>Granger_Inventory[[#This Row],[living_area]]*Lookups!$B$17</f>
        <v>80727.4908</v>
      </c>
      <c r="BN181" s="8">
        <f>(Granger_Inventory[[#This Row],[att_gar]]+Granger_Inventory[[#This Row],[blt_gar]])*Lookups!$B$18</f>
        <v>0</v>
      </c>
      <c r="BO181" s="8">
        <f>Granger_Inventory[[#This Row],[Patio]]*Lookups!$B$19</f>
        <v>0</v>
      </c>
      <c r="BP181" s="8">
        <f>SUM(Granger_Inventory[[#This Row],[Intercept]:[Patio_Value]])*Granger_Inventory[[#This Row],[res_pct]]</f>
        <v>223455.0699</v>
      </c>
      <c r="BQ181" s="8">
        <f>Granger_Inventory[[#This Row],[land_value]]</f>
        <v>17680.230269359956</v>
      </c>
      <c r="BR181" s="4">
        <f>_xlfn.IFNA(VLOOKUP(Granger_Inventory[[#This Row],[quality]],Lookups!$A$25:$C$35,3,FALSE),1)</f>
        <v>0.98258795897788032</v>
      </c>
      <c r="BS181" s="4">
        <f>_xlfn.IFNA(VLOOKUP(Granger_Inventory[[#This Row],[condition]],Lookups!$A$38:$C$45,3,FALSE),1)</f>
        <v>0.99484195314749324</v>
      </c>
      <c r="BT181" s="4">
        <f>IF(Granger_Inventory[[#This Row],[decade]]="",1,_xlfn.IFNA(VLOOKUP(Granger_Inventory[[#This Row],[decade]],Lookups!$G$28:$I$42,3,FALSE),1))</f>
        <v>0.95532362136731586</v>
      </c>
      <c r="BU181" s="4">
        <f>_xlfn.IFNA(VLOOKUP(Granger_Inventory[[#This Row],[living_area_range]],Lookups!$A$48:$C$57,3,FALSE),1)</f>
        <v>0.97960506760539345</v>
      </c>
      <c r="BV181" s="4">
        <f>AVERAGE(Granger_Inventory[[#This Row],[qual_adj]:[living_range_adj]])</f>
        <v>0.97808965027452077</v>
      </c>
      <c r="BW181" s="8">
        <f>(Granger_Inventory[[#This Row],[sum_land]]-IF(Granger_Inventory[[#This Row],[no_utilities]]=1,12000,0))/IF(Granger_Inventory[[#This Row],[unbuildable]]=1,2,1)</f>
        <v>17680.230269359956</v>
      </c>
      <c r="BX181" s="8">
        <f>Granger_Inventory[[#This Row],[pre_res]]*Granger_Inventory[[#This Row],[overall_adj]]</f>
        <v>218559.09117055961</v>
      </c>
      <c r="BY18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181">
        <f>ROUND(Granger_Inventory[[#This Row],[detatched_value]]*Lookups!$I$45,-2)</f>
        <v>0</v>
      </c>
      <c r="CA181">
        <f>IF(ROUND(Granger_Inventory[[#This Row],[adj_res]]*Lookups!$I$45,-2)&lt;Granger_Inventory[[#This Row],[min_res]],Granger_Inventory[[#This Row],[min_res]],ROUND(Granger_Inventory[[#This Row],[adj_res]]*Lookups!$I$45,-2))</f>
        <v>207600</v>
      </c>
      <c r="CB181">
        <f>Granger_Inventory[[#This Row],[final_det]]+Granger_Inventory[[#This Row],[final_res]]</f>
        <v>207600</v>
      </c>
      <c r="CC181">
        <f>Granger_Inventory[[#This Row],[final_land]]+Granger_Inventory[[#This Row],[final_imp]]+Granger_Inventory[[#This Row],[crop_value]]</f>
        <v>224400</v>
      </c>
      <c r="CE181" t="str">
        <f t="shared" si="2"/>
        <v>update valuation set market_land =16800, market_bldg=207600, market_total =224400, market_mdno =402, market_date ='9/10/2023' where link_id = (select link_id from parcel where parcel_year = '2024' and parcel_id = '21101641577');</v>
      </c>
    </row>
    <row r="182" spans="1:83" x14ac:dyDescent="0.25">
      <c r="A182">
        <v>21101641578</v>
      </c>
      <c r="B182">
        <v>0.19</v>
      </c>
      <c r="C182">
        <v>8446</v>
      </c>
      <c r="D182" t="s">
        <v>137</v>
      </c>
      <c r="E182" t="s">
        <v>54</v>
      </c>
      <c r="F182" t="s">
        <v>54</v>
      </c>
      <c r="G182">
        <v>3</v>
      </c>
      <c r="H182" t="s">
        <v>55</v>
      </c>
      <c r="I182">
        <v>205100</v>
      </c>
      <c r="J182">
        <v>27700</v>
      </c>
      <c r="K182">
        <v>0.19</v>
      </c>
      <c r="L182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182">
        <v>0</v>
      </c>
      <c r="N182">
        <v>0</v>
      </c>
      <c r="O182">
        <v>0</v>
      </c>
      <c r="P182">
        <v>47108.068500000001</v>
      </c>
      <c r="Q182">
        <v>122298</v>
      </c>
      <c r="R182">
        <f>(Granger_Inventory[[#This Row],[ln_acres]]*Granger_Inventory[[#This Row],[coeff]])+Granger_Inventory[[#This Row],[const]]</f>
        <v>44064.160548957996</v>
      </c>
      <c r="S182" t="s">
        <v>69</v>
      </c>
      <c r="T182">
        <v>1</v>
      </c>
      <c r="U182" t="s">
        <v>71</v>
      </c>
      <c r="V182" t="s">
        <v>70</v>
      </c>
      <c r="W182">
        <v>0</v>
      </c>
      <c r="X182">
        <v>0</v>
      </c>
      <c r="Y182">
        <v>15</v>
      </c>
      <c r="Z182">
        <v>15</v>
      </c>
      <c r="AA182">
        <v>20</v>
      </c>
      <c r="AB182">
        <v>1500</v>
      </c>
      <c r="AC182">
        <v>1200</v>
      </c>
      <c r="AD182">
        <v>1200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5</v>
      </c>
      <c r="AQ182">
        <v>0</v>
      </c>
      <c r="AR182">
        <v>0</v>
      </c>
      <c r="AS182" t="s">
        <v>139</v>
      </c>
      <c r="AT182">
        <v>1</v>
      </c>
      <c r="AU182" t="s">
        <v>63</v>
      </c>
      <c r="AV182" t="s">
        <v>65</v>
      </c>
      <c r="AW182">
        <v>1</v>
      </c>
      <c r="AX182">
        <v>3</v>
      </c>
      <c r="AY182">
        <v>0</v>
      </c>
      <c r="AZ182">
        <v>0</v>
      </c>
      <c r="BA182">
        <v>100</v>
      </c>
      <c r="BB182">
        <v>100</v>
      </c>
      <c r="BC182">
        <v>100</v>
      </c>
      <c r="BD182">
        <v>100</v>
      </c>
      <c r="BE182">
        <v>1</v>
      </c>
      <c r="BF182">
        <v>15000</v>
      </c>
      <c r="BG182">
        <v>1000</v>
      </c>
      <c r="BH182" s="8">
        <f>Granger_Inventory[[#This Row],[land_extract]]*Lookups!$B$3</f>
        <v>26250.377615159185</v>
      </c>
      <c r="BI182" s="8">
        <f>IF(Granger_Inventory[[#This Row],[bldg_style]]="",0,Lookups!$B$2)</f>
        <v>29703.559000000001</v>
      </c>
      <c r="BJ182" s="8">
        <f>_xlfn.IFNA(VLOOKUP(Granger_Inventory[[#This Row],[quality]],Lookups!$H$2:$J$14,3,FALSE),0)</f>
        <v>34195</v>
      </c>
      <c r="BK182" s="8">
        <f>_xlfn.IFNA(VLOOKUP(Granger_Inventory[[#This Row],[condition]],Lookups!$H$17:$J$24,3,FALSE),0)</f>
        <v>80695</v>
      </c>
      <c r="BL182" s="8">
        <f>Granger_Inventory[[#This Row],[Age]]*Lookups!$B$16</f>
        <v>-3109.9665</v>
      </c>
      <c r="BM182" s="8">
        <f>Granger_Inventory[[#This Row],[living_area]]*Lookups!$B$17</f>
        <v>80727.4908</v>
      </c>
      <c r="BN182" s="8">
        <f>(Granger_Inventory[[#This Row],[att_gar]]+Granger_Inventory[[#This Row],[blt_gar]])*Lookups!$B$18</f>
        <v>0</v>
      </c>
      <c r="BO182" s="8">
        <f>Granger_Inventory[[#This Row],[Patio]]*Lookups!$B$19</f>
        <v>0</v>
      </c>
      <c r="BP182" s="8">
        <f>SUM(Granger_Inventory[[#This Row],[Intercept]:[Patio_Value]])*Granger_Inventory[[#This Row],[res_pct]]</f>
        <v>222211.0833</v>
      </c>
      <c r="BQ182" s="8">
        <f>Granger_Inventory[[#This Row],[land_value]]</f>
        <v>26250.377615159185</v>
      </c>
      <c r="BR182" s="4">
        <f>_xlfn.IFNA(VLOOKUP(Granger_Inventory[[#This Row],[quality]],Lookups!$A$25:$C$35,3,FALSE),1)</f>
        <v>0.98258795897788032</v>
      </c>
      <c r="BS182" s="4">
        <f>_xlfn.IFNA(VLOOKUP(Granger_Inventory[[#This Row],[condition]],Lookups!$A$38:$C$45,3,FALSE),1)</f>
        <v>0.99484195314749324</v>
      </c>
      <c r="BT182" s="4">
        <f>IF(Granger_Inventory[[#This Row],[decade]]="",1,_xlfn.IFNA(VLOOKUP(Granger_Inventory[[#This Row],[decade]],Lookups!$G$28:$I$42,3,FALSE),1))</f>
        <v>1.0159161060824455</v>
      </c>
      <c r="BU182" s="4">
        <f>_xlfn.IFNA(VLOOKUP(Granger_Inventory[[#This Row],[living_area_range]],Lookups!$A$48:$C$57,3,FALSE),1)</f>
        <v>0.97960506760539345</v>
      </c>
      <c r="BV182" s="4">
        <f>AVERAGE(Granger_Inventory[[#This Row],[qual_adj]:[living_range_adj]])</f>
        <v>0.99323777145330316</v>
      </c>
      <c r="BW182" s="8">
        <f>(Granger_Inventory[[#This Row],[sum_land]]-IF(Granger_Inventory[[#This Row],[no_utilities]]=1,12000,0))/IF(Granger_Inventory[[#This Row],[unbuildable]]=1,2,1)</f>
        <v>26250.377615159185</v>
      </c>
      <c r="BX182" s="8">
        <f>Granger_Inventory[[#This Row],[pre_res]]*Granger_Inventory[[#This Row],[overall_adj]]</f>
        <v>220708.4411691163</v>
      </c>
      <c r="BY182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182">
        <f>ROUND(Granger_Inventory[[#This Row],[detatched_value]]*Lookups!$I$45,-2)</f>
        <v>0</v>
      </c>
      <c r="CA182">
        <f>IF(ROUND(Granger_Inventory[[#This Row],[adj_res]]*Lookups!$I$45,-2)&lt;Granger_Inventory[[#This Row],[min_res]],Granger_Inventory[[#This Row],[min_res]],ROUND(Granger_Inventory[[#This Row],[adj_res]]*Lookups!$I$45,-2))</f>
        <v>209700</v>
      </c>
      <c r="CB182">
        <f>Granger_Inventory[[#This Row],[final_det]]+Granger_Inventory[[#This Row],[final_res]]</f>
        <v>209700</v>
      </c>
      <c r="CC182">
        <f>Granger_Inventory[[#This Row],[final_land]]+Granger_Inventory[[#This Row],[final_imp]]+Granger_Inventory[[#This Row],[crop_value]]</f>
        <v>234600</v>
      </c>
      <c r="CE182" t="str">
        <f t="shared" si="2"/>
        <v>update valuation set market_land =24900, market_bldg=209700, market_total =234600, market_mdno =402, market_date ='9/10/2023' where link_id = (select link_id from parcel where parcel_year = '2024' and parcel_id = '21101641578');</v>
      </c>
    </row>
    <row r="183" spans="1:83" x14ac:dyDescent="0.25">
      <c r="A183">
        <v>21101641579</v>
      </c>
      <c r="B183">
        <v>0.15</v>
      </c>
      <c r="C183">
        <v>6720</v>
      </c>
      <c r="D183" t="s">
        <v>137</v>
      </c>
      <c r="E183" t="s">
        <v>54</v>
      </c>
      <c r="F183" t="s">
        <v>54</v>
      </c>
      <c r="G183">
        <v>3</v>
      </c>
      <c r="H183" t="s">
        <v>55</v>
      </c>
      <c r="I183">
        <v>186500</v>
      </c>
      <c r="J183">
        <v>26300</v>
      </c>
      <c r="K183">
        <v>0.15</v>
      </c>
      <c r="L183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83">
        <v>0</v>
      </c>
      <c r="N183">
        <v>0</v>
      </c>
      <c r="O183">
        <v>0</v>
      </c>
      <c r="P183">
        <v>47108.068500000001</v>
      </c>
      <c r="Q183">
        <v>122298</v>
      </c>
      <c r="R183">
        <f>(Granger_Inventory[[#This Row],[ln_acres]]*Granger_Inventory[[#This Row],[coeff]])+Granger_Inventory[[#This Row],[const]]</f>
        <v>32928.341799276939</v>
      </c>
      <c r="S183" t="s">
        <v>69</v>
      </c>
      <c r="T183">
        <v>1</v>
      </c>
      <c r="U183" t="s">
        <v>71</v>
      </c>
      <c r="V183" t="s">
        <v>72</v>
      </c>
      <c r="W183">
        <v>0</v>
      </c>
      <c r="X183">
        <v>0</v>
      </c>
      <c r="Y183">
        <v>10</v>
      </c>
      <c r="Z183">
        <v>10</v>
      </c>
      <c r="AA183">
        <v>10</v>
      </c>
      <c r="AB183">
        <v>1500</v>
      </c>
      <c r="AC183">
        <v>1200</v>
      </c>
      <c r="AD183">
        <v>1200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5</v>
      </c>
      <c r="AQ183">
        <v>0</v>
      </c>
      <c r="AR183">
        <v>0</v>
      </c>
      <c r="AS183" t="s">
        <v>59</v>
      </c>
      <c r="AT183">
        <v>1</v>
      </c>
      <c r="AU183" t="s">
        <v>68</v>
      </c>
      <c r="AV183" t="s">
        <v>65</v>
      </c>
      <c r="AW183">
        <v>0</v>
      </c>
      <c r="AX183">
        <v>3</v>
      </c>
      <c r="AY183">
        <v>0</v>
      </c>
      <c r="AZ183">
        <v>0</v>
      </c>
      <c r="BA183">
        <v>100</v>
      </c>
      <c r="BB183">
        <v>100</v>
      </c>
      <c r="BC183">
        <v>100</v>
      </c>
      <c r="BD183">
        <v>100</v>
      </c>
      <c r="BE183">
        <v>1</v>
      </c>
      <c r="BF183">
        <v>15000</v>
      </c>
      <c r="BG183">
        <v>1000</v>
      </c>
      <c r="BH183" s="8">
        <f>Granger_Inventory[[#This Row],[land_extract]]*Lookups!$B$3</f>
        <v>19616.42740275669</v>
      </c>
      <c r="BI183" s="8">
        <f>IF(Granger_Inventory[[#This Row],[bldg_style]]="",0,Lookups!$B$2)</f>
        <v>29703.559000000001</v>
      </c>
      <c r="BJ183" s="8">
        <f>_xlfn.IFNA(VLOOKUP(Granger_Inventory[[#This Row],[quality]],Lookups!$H$2:$J$14,3,FALSE),0)</f>
        <v>34195</v>
      </c>
      <c r="BK183" s="8">
        <f>_xlfn.IFNA(VLOOKUP(Granger_Inventory[[#This Row],[condition]],Lookups!$H$17:$J$24,3,FALSE),0)</f>
        <v>94106</v>
      </c>
      <c r="BL183" s="8">
        <f>Granger_Inventory[[#This Row],[Age]]*Lookups!$B$16</f>
        <v>-2073.3109999999997</v>
      </c>
      <c r="BM183" s="8">
        <f>Granger_Inventory[[#This Row],[living_area]]*Lookups!$B$17</f>
        <v>80727.4908</v>
      </c>
      <c r="BN183" s="8">
        <f>(Granger_Inventory[[#This Row],[att_gar]]+Granger_Inventory[[#This Row],[blt_gar]])*Lookups!$B$18</f>
        <v>0</v>
      </c>
      <c r="BO183" s="8">
        <f>Granger_Inventory[[#This Row],[Patio]]*Lookups!$B$19</f>
        <v>0</v>
      </c>
      <c r="BP183" s="8">
        <f>SUM(Granger_Inventory[[#This Row],[Intercept]:[Patio_Value]])*Granger_Inventory[[#This Row],[res_pct]]</f>
        <v>236658.73880000002</v>
      </c>
      <c r="BQ183" s="8">
        <f>Granger_Inventory[[#This Row],[land_value]]</f>
        <v>19616.42740275669</v>
      </c>
      <c r="BR183" s="4">
        <f>_xlfn.IFNA(VLOOKUP(Granger_Inventory[[#This Row],[quality]],Lookups!$A$25:$C$35,3,FALSE),1)</f>
        <v>0.98258795897788032</v>
      </c>
      <c r="BS183" s="4">
        <f>_xlfn.IFNA(VLOOKUP(Granger_Inventory[[#This Row],[condition]],Lookups!$A$38:$C$45,3,FALSE),1)</f>
        <v>0.98658583151544277</v>
      </c>
      <c r="BT183" s="4">
        <f>IF(Granger_Inventory[[#This Row],[decade]]="",1,_xlfn.IFNA(VLOOKUP(Granger_Inventory[[#This Row],[decade]],Lookups!$G$28:$I$42,3,FALSE),1))</f>
        <v>0.95532362136731586</v>
      </c>
      <c r="BU183" s="4">
        <f>_xlfn.IFNA(VLOOKUP(Granger_Inventory[[#This Row],[living_area_range]],Lookups!$A$48:$C$57,3,FALSE),1)</f>
        <v>0.97960506760539345</v>
      </c>
      <c r="BV183" s="4">
        <f>AVERAGE(Granger_Inventory[[#This Row],[qual_adj]:[living_range_adj]])</f>
        <v>0.97602561986650815</v>
      </c>
      <c r="BW183" s="8">
        <f>(Granger_Inventory[[#This Row],[sum_land]]-IF(Granger_Inventory[[#This Row],[no_utilities]]=1,12000,0))/IF(Granger_Inventory[[#This Row],[unbuildable]]=1,2,1)</f>
        <v>19616.42740275669</v>
      </c>
      <c r="BX183" s="8">
        <f>Granger_Inventory[[#This Row],[pre_res]]*Granger_Inventory[[#This Row],[overall_adj]]</f>
        <v>230984.99223409608</v>
      </c>
      <c r="BY183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83">
        <f>ROUND(Granger_Inventory[[#This Row],[detatched_value]]*Lookups!$I$45,-2)</f>
        <v>0</v>
      </c>
      <c r="CA183">
        <f>IF(ROUND(Granger_Inventory[[#This Row],[adj_res]]*Lookups!$I$45,-2)&lt;Granger_Inventory[[#This Row],[min_res]],Granger_Inventory[[#This Row],[min_res]],ROUND(Granger_Inventory[[#This Row],[adj_res]]*Lookups!$I$45,-2))</f>
        <v>219400</v>
      </c>
      <c r="CB183">
        <f>Granger_Inventory[[#This Row],[final_det]]+Granger_Inventory[[#This Row],[final_res]]</f>
        <v>219400</v>
      </c>
      <c r="CC183">
        <f>Granger_Inventory[[#This Row],[final_land]]+Granger_Inventory[[#This Row],[final_imp]]+Granger_Inventory[[#This Row],[crop_value]]</f>
        <v>238000</v>
      </c>
      <c r="CE183" t="str">
        <f t="shared" si="2"/>
        <v>update valuation set market_land =18600, market_bldg=219400, market_total =238000, market_mdno =402, market_date ='9/10/2023' where link_id = (select link_id from parcel where parcel_year = '2024' and parcel_id = '21101641579');</v>
      </c>
    </row>
    <row r="184" spans="1:83" x14ac:dyDescent="0.25">
      <c r="A184">
        <v>21101641580</v>
      </c>
      <c r="B184">
        <v>0.15</v>
      </c>
      <c r="C184">
        <v>6720</v>
      </c>
      <c r="D184" t="s">
        <v>137</v>
      </c>
      <c r="E184" t="s">
        <v>54</v>
      </c>
      <c r="F184" t="s">
        <v>54</v>
      </c>
      <c r="G184">
        <v>3</v>
      </c>
      <c r="H184" t="s">
        <v>55</v>
      </c>
      <c r="I184">
        <v>297500</v>
      </c>
      <c r="J184">
        <v>26300</v>
      </c>
      <c r="K184">
        <v>0.15</v>
      </c>
      <c r="L18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84">
        <v>0</v>
      </c>
      <c r="N184">
        <v>0</v>
      </c>
      <c r="O184">
        <v>0</v>
      </c>
      <c r="P184">
        <v>47108.068500000001</v>
      </c>
      <c r="Q184">
        <v>122298</v>
      </c>
      <c r="R184">
        <f>(Granger_Inventory[[#This Row],[ln_acres]]*Granger_Inventory[[#This Row],[coeff]])+Granger_Inventory[[#This Row],[const]]</f>
        <v>32928.341799276939</v>
      </c>
      <c r="S184" t="s">
        <v>69</v>
      </c>
      <c r="T184">
        <v>1</v>
      </c>
      <c r="U184" t="s">
        <v>64</v>
      </c>
      <c r="V184" t="s">
        <v>70</v>
      </c>
      <c r="W184">
        <v>0</v>
      </c>
      <c r="X184">
        <v>0</v>
      </c>
      <c r="Y184">
        <v>17</v>
      </c>
      <c r="Z184">
        <v>17</v>
      </c>
      <c r="AA184">
        <v>20</v>
      </c>
      <c r="AB184">
        <v>2000</v>
      </c>
      <c r="AC184">
        <v>1577</v>
      </c>
      <c r="AD184">
        <v>1577</v>
      </c>
      <c r="AE184">
        <v>0</v>
      </c>
      <c r="AF184">
        <v>0</v>
      </c>
      <c r="AG184">
        <v>0</v>
      </c>
      <c r="AH184">
        <v>0</v>
      </c>
      <c r="AI184">
        <v>286</v>
      </c>
      <c r="AJ184">
        <v>0</v>
      </c>
      <c r="AK184">
        <v>0</v>
      </c>
      <c r="AL184">
        <v>0</v>
      </c>
      <c r="AM184">
        <v>0</v>
      </c>
      <c r="AN184">
        <v>57</v>
      </c>
      <c r="AO184">
        <v>0</v>
      </c>
      <c r="AP184">
        <v>8</v>
      </c>
      <c r="AQ184">
        <v>0</v>
      </c>
      <c r="AR184">
        <v>0</v>
      </c>
      <c r="AS184" t="s">
        <v>59</v>
      </c>
      <c r="AT184">
        <v>1</v>
      </c>
      <c r="AU184" t="s">
        <v>63</v>
      </c>
      <c r="AV184" t="s">
        <v>65</v>
      </c>
      <c r="AW184">
        <v>1</v>
      </c>
      <c r="AX184">
        <v>4</v>
      </c>
      <c r="AY184">
        <v>0</v>
      </c>
      <c r="AZ184">
        <v>0</v>
      </c>
      <c r="BA184">
        <v>100</v>
      </c>
      <c r="BB184">
        <v>100</v>
      </c>
      <c r="BC184">
        <v>100</v>
      </c>
      <c r="BD184">
        <v>100</v>
      </c>
      <c r="BE184">
        <v>1</v>
      </c>
      <c r="BF184">
        <v>15000</v>
      </c>
      <c r="BG184">
        <v>1000</v>
      </c>
      <c r="BH184" s="8">
        <f>Granger_Inventory[[#This Row],[land_extract]]*Lookups!$B$3</f>
        <v>19616.42740275669</v>
      </c>
      <c r="BI184" s="8">
        <f>IF(Granger_Inventory[[#This Row],[bldg_style]]="",0,Lookups!$B$2)</f>
        <v>29703.559000000001</v>
      </c>
      <c r="BJ184" s="8">
        <f>_xlfn.IFNA(VLOOKUP(Granger_Inventory[[#This Row],[quality]],Lookups!$H$2:$J$14,3,FALSE),0)</f>
        <v>36568</v>
      </c>
      <c r="BK184" s="8">
        <f>_xlfn.IFNA(VLOOKUP(Granger_Inventory[[#This Row],[condition]],Lookups!$H$17:$J$24,3,FALSE),0)</f>
        <v>80695</v>
      </c>
      <c r="BL184" s="8">
        <f>Granger_Inventory[[#This Row],[Age]]*Lookups!$B$16</f>
        <v>-3524.6286999999998</v>
      </c>
      <c r="BM184" s="8">
        <f>Granger_Inventory[[#This Row],[living_area]]*Lookups!$B$17</f>
        <v>106089.37749299999</v>
      </c>
      <c r="BN184" s="8">
        <f>(Granger_Inventory[[#This Row],[att_gar]]+Granger_Inventory[[#This Row],[blt_gar]])*Lookups!$B$18</f>
        <v>13856.009596</v>
      </c>
      <c r="BO184" s="8">
        <f>Granger_Inventory[[#This Row],[Patio]]*Lookups!$B$19</f>
        <v>0</v>
      </c>
      <c r="BP184" s="8">
        <f>SUM(Granger_Inventory[[#This Row],[Intercept]:[Patio_Value]])*Granger_Inventory[[#This Row],[res_pct]]</f>
        <v>263387.31738900003</v>
      </c>
      <c r="BQ184" s="8">
        <f>Granger_Inventory[[#This Row],[land_value]]</f>
        <v>19616.42740275669</v>
      </c>
      <c r="BR184" s="4">
        <f>_xlfn.IFNA(VLOOKUP(Granger_Inventory[[#This Row],[quality]],Lookups!$A$25:$C$35,3,FALSE),1)</f>
        <v>0.99049976351917957</v>
      </c>
      <c r="BS184" s="4">
        <f>_xlfn.IFNA(VLOOKUP(Granger_Inventory[[#This Row],[condition]],Lookups!$A$38:$C$45,3,FALSE),1)</f>
        <v>0.99484195314749324</v>
      </c>
      <c r="BT184" s="4">
        <f>IF(Granger_Inventory[[#This Row],[decade]]="",1,_xlfn.IFNA(VLOOKUP(Granger_Inventory[[#This Row],[decade]],Lookups!$G$28:$I$42,3,FALSE),1))</f>
        <v>1.0159161060824455</v>
      </c>
      <c r="BU184" s="4">
        <f>_xlfn.IFNA(VLOOKUP(Granger_Inventory[[#This Row],[living_area_range]],Lookups!$A$48:$C$57,3,FALSE),1)</f>
        <v>0.97860968051050168</v>
      </c>
      <c r="BV184" s="4">
        <f>AVERAGE(Granger_Inventory[[#This Row],[qual_adj]:[living_range_adj]])</f>
        <v>0.99496687581490506</v>
      </c>
      <c r="BW184" s="8">
        <f>(Granger_Inventory[[#This Row],[sum_land]]-IF(Granger_Inventory[[#This Row],[no_utilities]]=1,12000,0))/IF(Granger_Inventory[[#This Row],[unbuildable]]=1,2,1)</f>
        <v>19616.42740275669</v>
      </c>
      <c r="BX184" s="8">
        <f>Granger_Inventory[[#This Row],[pre_res]]*Granger_Inventory[[#This Row],[overall_adj]]</f>
        <v>262061.65631180219</v>
      </c>
      <c r="BY18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84">
        <f>ROUND(Granger_Inventory[[#This Row],[detatched_value]]*Lookups!$I$45,-2)</f>
        <v>0</v>
      </c>
      <c r="CA184">
        <f>IF(ROUND(Granger_Inventory[[#This Row],[adj_res]]*Lookups!$I$45,-2)&lt;Granger_Inventory[[#This Row],[min_res]],Granger_Inventory[[#This Row],[min_res]],ROUND(Granger_Inventory[[#This Row],[adj_res]]*Lookups!$I$45,-2))</f>
        <v>249000</v>
      </c>
      <c r="CB184">
        <f>Granger_Inventory[[#This Row],[final_det]]+Granger_Inventory[[#This Row],[final_res]]</f>
        <v>249000</v>
      </c>
      <c r="CC184">
        <f>Granger_Inventory[[#This Row],[final_land]]+Granger_Inventory[[#This Row],[final_imp]]+Granger_Inventory[[#This Row],[crop_value]]</f>
        <v>267600</v>
      </c>
      <c r="CE184" t="str">
        <f t="shared" si="2"/>
        <v>update valuation set market_land =18600, market_bldg=249000, market_total =267600, market_mdno =402, market_date ='9/10/2023' where link_id = (select link_id from parcel where parcel_year = '2024' and parcel_id = '21101641580');</v>
      </c>
    </row>
    <row r="185" spans="1:83" x14ac:dyDescent="0.25">
      <c r="A185">
        <v>21101641582</v>
      </c>
      <c r="B185">
        <v>0.15</v>
      </c>
      <c r="C185">
        <v>6720</v>
      </c>
      <c r="D185" t="s">
        <v>137</v>
      </c>
      <c r="E185" t="s">
        <v>54</v>
      </c>
      <c r="F185" t="s">
        <v>54</v>
      </c>
      <c r="G185">
        <v>3</v>
      </c>
      <c r="H185" t="s">
        <v>55</v>
      </c>
      <c r="I185">
        <v>255000</v>
      </c>
      <c r="J185">
        <v>26300</v>
      </c>
      <c r="K185">
        <v>0.15</v>
      </c>
      <c r="L185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85">
        <v>0</v>
      </c>
      <c r="N185">
        <v>0</v>
      </c>
      <c r="O185">
        <v>0</v>
      </c>
      <c r="P185">
        <v>47108.068500000001</v>
      </c>
      <c r="Q185">
        <v>122298</v>
      </c>
      <c r="R185">
        <f>(Granger_Inventory[[#This Row],[ln_acres]]*Granger_Inventory[[#This Row],[coeff]])+Granger_Inventory[[#This Row],[const]]</f>
        <v>32928.341799276939</v>
      </c>
      <c r="S185" t="s">
        <v>56</v>
      </c>
      <c r="T185">
        <v>1</v>
      </c>
      <c r="U185" t="s">
        <v>57</v>
      </c>
      <c r="V185" t="s">
        <v>72</v>
      </c>
      <c r="W185">
        <v>0</v>
      </c>
      <c r="X185">
        <v>0</v>
      </c>
      <c r="Y185">
        <v>13</v>
      </c>
      <c r="Z185">
        <v>13</v>
      </c>
      <c r="AA185">
        <v>20</v>
      </c>
      <c r="AB185">
        <v>2000</v>
      </c>
      <c r="AC185">
        <v>1792</v>
      </c>
      <c r="AD185">
        <v>1792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264</v>
      </c>
      <c r="AM185">
        <v>0</v>
      </c>
      <c r="AN185">
        <v>180</v>
      </c>
      <c r="AO185">
        <v>264</v>
      </c>
      <c r="AP185">
        <v>8</v>
      </c>
      <c r="AQ185">
        <v>0</v>
      </c>
      <c r="AR185">
        <v>0</v>
      </c>
      <c r="AS185" t="s">
        <v>59</v>
      </c>
      <c r="AT185">
        <v>1</v>
      </c>
      <c r="AU185" t="s">
        <v>63</v>
      </c>
      <c r="AV185" t="s">
        <v>65</v>
      </c>
      <c r="AW185">
        <v>1</v>
      </c>
      <c r="AX185">
        <v>3</v>
      </c>
      <c r="AY185">
        <v>0</v>
      </c>
      <c r="AZ185">
        <v>0</v>
      </c>
      <c r="BA185">
        <v>100</v>
      </c>
      <c r="BB185">
        <v>100</v>
      </c>
      <c r="BC185">
        <v>100</v>
      </c>
      <c r="BD185">
        <v>100</v>
      </c>
      <c r="BE185">
        <v>1</v>
      </c>
      <c r="BF185">
        <v>15000</v>
      </c>
      <c r="BG185">
        <v>1000</v>
      </c>
      <c r="BH185" s="8">
        <f>Granger_Inventory[[#This Row],[land_extract]]*Lookups!$B$3</f>
        <v>19616.42740275669</v>
      </c>
      <c r="BI185" s="8">
        <f>IF(Granger_Inventory[[#This Row],[bldg_style]]="",0,Lookups!$B$2)</f>
        <v>29703.559000000001</v>
      </c>
      <c r="BJ185" s="8">
        <f>_xlfn.IFNA(VLOOKUP(Granger_Inventory[[#This Row],[quality]],Lookups!$H$2:$J$14,3,FALSE),0)</f>
        <v>56414</v>
      </c>
      <c r="BK185" s="8">
        <f>_xlfn.IFNA(VLOOKUP(Granger_Inventory[[#This Row],[condition]],Lookups!$H$17:$J$24,3,FALSE),0)</f>
        <v>94106</v>
      </c>
      <c r="BL185" s="8">
        <f>Granger_Inventory[[#This Row],[Age]]*Lookups!$B$16</f>
        <v>-2695.3042999999998</v>
      </c>
      <c r="BM185" s="8">
        <f>Granger_Inventory[[#This Row],[living_area]]*Lookups!$B$17</f>
        <v>120553.05292799999</v>
      </c>
      <c r="BN185" s="8">
        <f>(Granger_Inventory[[#This Row],[att_gar]]+Granger_Inventory[[#This Row],[blt_gar]])*Lookups!$B$18</f>
        <v>0</v>
      </c>
      <c r="BO185" s="8">
        <f>Granger_Inventory[[#This Row],[Patio]]*Lookups!$B$19</f>
        <v>0</v>
      </c>
      <c r="BP185" s="8">
        <f>SUM(Granger_Inventory[[#This Row],[Intercept]:[Patio_Value]])*Granger_Inventory[[#This Row],[res_pct]]</f>
        <v>298081.30762800004</v>
      </c>
      <c r="BQ185" s="8">
        <f>Granger_Inventory[[#This Row],[land_value]]</f>
        <v>19616.42740275669</v>
      </c>
      <c r="BR185" s="4">
        <f>_xlfn.IFNA(VLOOKUP(Granger_Inventory[[#This Row],[quality]],Lookups!$A$25:$C$35,3,FALSE),1)</f>
        <v>0.98791809110152173</v>
      </c>
      <c r="BS185" s="4">
        <f>_xlfn.IFNA(VLOOKUP(Granger_Inventory[[#This Row],[condition]],Lookups!$A$38:$C$45,3,FALSE),1)</f>
        <v>0.98658583151544277</v>
      </c>
      <c r="BT185" s="4">
        <f>IF(Granger_Inventory[[#This Row],[decade]]="",1,_xlfn.IFNA(VLOOKUP(Granger_Inventory[[#This Row],[decade]],Lookups!$G$28:$I$42,3,FALSE),1))</f>
        <v>1.0159161060824455</v>
      </c>
      <c r="BU185" s="4">
        <f>_xlfn.IFNA(VLOOKUP(Granger_Inventory[[#This Row],[living_area_range]],Lookups!$A$48:$C$57,3,FALSE),1)</f>
        <v>0.97860968051050168</v>
      </c>
      <c r="BV185" s="4">
        <f>AVERAGE(Granger_Inventory[[#This Row],[qual_adj]:[living_range_adj]])</f>
        <v>0.99225742730247801</v>
      </c>
      <c r="BW185" s="8">
        <f>(Granger_Inventory[[#This Row],[sum_land]]-IF(Granger_Inventory[[#This Row],[no_utilities]]=1,12000,0))/IF(Granger_Inventory[[#This Row],[unbuildable]]=1,2,1)</f>
        <v>19616.42740275669</v>
      </c>
      <c r="BX185" s="8">
        <f>Granger_Inventory[[#This Row],[pre_res]]*Granger_Inventory[[#This Row],[overall_adj]]</f>
        <v>295773.39143391786</v>
      </c>
      <c r="BY185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85">
        <f>ROUND(Granger_Inventory[[#This Row],[detatched_value]]*Lookups!$I$45,-2)</f>
        <v>0</v>
      </c>
      <c r="CA185">
        <f>IF(ROUND(Granger_Inventory[[#This Row],[adj_res]]*Lookups!$I$45,-2)&lt;Granger_Inventory[[#This Row],[min_res]],Granger_Inventory[[#This Row],[min_res]],ROUND(Granger_Inventory[[#This Row],[adj_res]]*Lookups!$I$45,-2))</f>
        <v>281000</v>
      </c>
      <c r="CB185">
        <f>Granger_Inventory[[#This Row],[final_det]]+Granger_Inventory[[#This Row],[final_res]]</f>
        <v>281000</v>
      </c>
      <c r="CC185">
        <f>Granger_Inventory[[#This Row],[final_land]]+Granger_Inventory[[#This Row],[final_imp]]+Granger_Inventory[[#This Row],[crop_value]]</f>
        <v>299600</v>
      </c>
      <c r="CE185" t="str">
        <f t="shared" si="2"/>
        <v>update valuation set market_land =18600, market_bldg=281000, market_total =299600, market_mdno =402, market_date ='9/10/2023' where link_id = (select link_id from parcel where parcel_year = '2024' and parcel_id = '21101641582');</v>
      </c>
    </row>
    <row r="186" spans="1:83" x14ac:dyDescent="0.25">
      <c r="A186">
        <v>21101641583</v>
      </c>
      <c r="B186">
        <v>0.15</v>
      </c>
      <c r="C186">
        <v>6720</v>
      </c>
      <c r="D186" t="s">
        <v>137</v>
      </c>
      <c r="E186" t="s">
        <v>54</v>
      </c>
      <c r="F186" t="s">
        <v>54</v>
      </c>
      <c r="G186">
        <v>3</v>
      </c>
      <c r="H186" t="s">
        <v>55</v>
      </c>
      <c r="I186">
        <v>257600</v>
      </c>
      <c r="J186">
        <v>26300</v>
      </c>
      <c r="K186">
        <v>0.15</v>
      </c>
      <c r="L18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186">
        <v>0</v>
      </c>
      <c r="N186">
        <v>0</v>
      </c>
      <c r="O186">
        <v>0</v>
      </c>
      <c r="P186">
        <v>47108.068500000001</v>
      </c>
      <c r="Q186">
        <v>122298</v>
      </c>
      <c r="R186">
        <f>(Granger_Inventory[[#This Row],[ln_acres]]*Granger_Inventory[[#This Row],[coeff]])+Granger_Inventory[[#This Row],[const]]</f>
        <v>32928.341799276939</v>
      </c>
      <c r="S186" t="s">
        <v>56</v>
      </c>
      <c r="T186">
        <v>1</v>
      </c>
      <c r="U186" t="s">
        <v>64</v>
      </c>
      <c r="V186" t="s">
        <v>70</v>
      </c>
      <c r="W186">
        <v>0</v>
      </c>
      <c r="X186">
        <v>0</v>
      </c>
      <c r="Y186">
        <v>15</v>
      </c>
      <c r="Z186">
        <v>15</v>
      </c>
      <c r="AA186">
        <v>20</v>
      </c>
      <c r="AB186">
        <v>1500</v>
      </c>
      <c r="AC186">
        <v>1440</v>
      </c>
      <c r="AD186">
        <v>1440</v>
      </c>
      <c r="AE186">
        <v>0</v>
      </c>
      <c r="AF186">
        <v>0</v>
      </c>
      <c r="AG186">
        <v>0</v>
      </c>
      <c r="AH186">
        <v>0</v>
      </c>
      <c r="AI186">
        <v>352</v>
      </c>
      <c r="AJ186">
        <v>0</v>
      </c>
      <c r="AK186">
        <v>0</v>
      </c>
      <c r="AL186">
        <v>0</v>
      </c>
      <c r="AM186">
        <v>0</v>
      </c>
      <c r="AN186">
        <v>180</v>
      </c>
      <c r="AO186">
        <v>0</v>
      </c>
      <c r="AP186">
        <v>8</v>
      </c>
      <c r="AQ186">
        <v>0</v>
      </c>
      <c r="AR186">
        <v>0</v>
      </c>
      <c r="AS186" t="s">
        <v>59</v>
      </c>
      <c r="AT186">
        <v>1</v>
      </c>
      <c r="AU186" t="s">
        <v>63</v>
      </c>
      <c r="AV186" t="s">
        <v>65</v>
      </c>
      <c r="AW186">
        <v>1</v>
      </c>
      <c r="AX186">
        <v>3</v>
      </c>
      <c r="AY186">
        <v>0</v>
      </c>
      <c r="AZ186">
        <v>0</v>
      </c>
      <c r="BA186">
        <v>100</v>
      </c>
      <c r="BB186">
        <v>100</v>
      </c>
      <c r="BC186">
        <v>100</v>
      </c>
      <c r="BD186">
        <v>100</v>
      </c>
      <c r="BE186">
        <v>1</v>
      </c>
      <c r="BF186">
        <v>15000</v>
      </c>
      <c r="BG186">
        <v>1000</v>
      </c>
      <c r="BH186" s="8">
        <f>Granger_Inventory[[#This Row],[land_extract]]*Lookups!$B$3</f>
        <v>19616.42740275669</v>
      </c>
      <c r="BI186" s="8">
        <f>IF(Granger_Inventory[[#This Row],[bldg_style]]="",0,Lookups!$B$2)</f>
        <v>29703.559000000001</v>
      </c>
      <c r="BJ186" s="8">
        <f>_xlfn.IFNA(VLOOKUP(Granger_Inventory[[#This Row],[quality]],Lookups!$H$2:$J$14,3,FALSE),0)</f>
        <v>36568</v>
      </c>
      <c r="BK186" s="8">
        <f>_xlfn.IFNA(VLOOKUP(Granger_Inventory[[#This Row],[condition]],Lookups!$H$17:$J$24,3,FALSE),0)</f>
        <v>80695</v>
      </c>
      <c r="BL186" s="8">
        <f>Granger_Inventory[[#This Row],[Age]]*Lookups!$B$16</f>
        <v>-3109.9665</v>
      </c>
      <c r="BM186" s="8">
        <f>Granger_Inventory[[#This Row],[living_area]]*Lookups!$B$17</f>
        <v>96872.988960000002</v>
      </c>
      <c r="BN186" s="8">
        <f>(Granger_Inventory[[#This Row],[att_gar]]+Granger_Inventory[[#This Row],[blt_gar]])*Lookups!$B$18</f>
        <v>17053.550272</v>
      </c>
      <c r="BO186" s="8">
        <f>Granger_Inventory[[#This Row],[Patio]]*Lookups!$B$19</f>
        <v>0</v>
      </c>
      <c r="BP186" s="8">
        <f>SUM(Granger_Inventory[[#This Row],[Intercept]:[Patio_Value]])*Granger_Inventory[[#This Row],[res_pct]]</f>
        <v>257783.13173200001</v>
      </c>
      <c r="BQ186" s="8">
        <f>Granger_Inventory[[#This Row],[land_value]]</f>
        <v>19616.42740275669</v>
      </c>
      <c r="BR186" s="4">
        <f>_xlfn.IFNA(VLOOKUP(Granger_Inventory[[#This Row],[quality]],Lookups!$A$25:$C$35,3,FALSE),1)</f>
        <v>0.99049976351917957</v>
      </c>
      <c r="BS186" s="4">
        <f>_xlfn.IFNA(VLOOKUP(Granger_Inventory[[#This Row],[condition]],Lookups!$A$38:$C$45,3,FALSE),1)</f>
        <v>0.99484195314749324</v>
      </c>
      <c r="BT186" s="4">
        <f>IF(Granger_Inventory[[#This Row],[decade]]="",1,_xlfn.IFNA(VLOOKUP(Granger_Inventory[[#This Row],[decade]],Lookups!$G$28:$I$42,3,FALSE),1))</f>
        <v>1.0159161060824455</v>
      </c>
      <c r="BU186" s="4">
        <f>_xlfn.IFNA(VLOOKUP(Granger_Inventory[[#This Row],[living_area_range]],Lookups!$A$48:$C$57,3,FALSE),1)</f>
        <v>0.97960506760539345</v>
      </c>
      <c r="BV186" s="4">
        <f>AVERAGE(Granger_Inventory[[#This Row],[qual_adj]:[living_range_adj]])</f>
        <v>0.995215722588628</v>
      </c>
      <c r="BW186" s="8">
        <f>(Granger_Inventory[[#This Row],[sum_land]]-IF(Granger_Inventory[[#This Row],[no_utilities]]=1,12000,0))/IF(Granger_Inventory[[#This Row],[unbuildable]]=1,2,1)</f>
        <v>19616.42740275669</v>
      </c>
      <c r="BX186" s="8">
        <f>Granger_Inventory[[#This Row],[pre_res]]*Granger_Inventory[[#This Row],[overall_adj]]</f>
        <v>256549.82571782186</v>
      </c>
      <c r="BY18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186">
        <f>ROUND(Granger_Inventory[[#This Row],[detatched_value]]*Lookups!$I$45,-2)</f>
        <v>0</v>
      </c>
      <c r="CA186">
        <f>IF(ROUND(Granger_Inventory[[#This Row],[adj_res]]*Lookups!$I$45,-2)&lt;Granger_Inventory[[#This Row],[min_res]],Granger_Inventory[[#This Row],[min_res]],ROUND(Granger_Inventory[[#This Row],[adj_res]]*Lookups!$I$45,-2))</f>
        <v>243700</v>
      </c>
      <c r="CB186">
        <f>Granger_Inventory[[#This Row],[final_det]]+Granger_Inventory[[#This Row],[final_res]]</f>
        <v>243700</v>
      </c>
      <c r="CC186">
        <f>Granger_Inventory[[#This Row],[final_land]]+Granger_Inventory[[#This Row],[final_imp]]+Granger_Inventory[[#This Row],[crop_value]]</f>
        <v>262300</v>
      </c>
      <c r="CE186" t="str">
        <f t="shared" si="2"/>
        <v>update valuation set market_land =18600, market_bldg=243700, market_total =262300, market_mdno =402, market_date ='9/10/2023' where link_id = (select link_id from parcel where parcel_year = '2024' and parcel_id = '21101641583');</v>
      </c>
    </row>
    <row r="187" spans="1:83" x14ac:dyDescent="0.25">
      <c r="A187">
        <v>21101641584</v>
      </c>
      <c r="B187">
        <v>0.5</v>
      </c>
      <c r="C187" t="s">
        <v>137</v>
      </c>
      <c r="D187" t="s">
        <v>137</v>
      </c>
      <c r="E187" t="s">
        <v>54</v>
      </c>
      <c r="F187" t="s">
        <v>54</v>
      </c>
      <c r="G187">
        <v>3</v>
      </c>
      <c r="H187" t="s">
        <v>55</v>
      </c>
      <c r="I187">
        <v>279000</v>
      </c>
      <c r="J187">
        <v>33500</v>
      </c>
      <c r="K187">
        <v>0.5</v>
      </c>
      <c r="L187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187">
        <v>0</v>
      </c>
      <c r="N187">
        <v>0</v>
      </c>
      <c r="O187">
        <v>0</v>
      </c>
      <c r="P187">
        <v>47108.068500000001</v>
      </c>
      <c r="Q187">
        <v>122298</v>
      </c>
      <c r="R187">
        <f>(Granger_Inventory[[#This Row],[ln_acres]]*Granger_Inventory[[#This Row],[coeff]])+Granger_Inventory[[#This Row],[const]]</f>
        <v>89645.175137600221</v>
      </c>
      <c r="S187" t="s">
        <v>69</v>
      </c>
      <c r="T187">
        <v>1</v>
      </c>
      <c r="U187" t="s">
        <v>57</v>
      </c>
      <c r="V187" t="s">
        <v>58</v>
      </c>
      <c r="W187">
        <v>0</v>
      </c>
      <c r="X187">
        <v>0</v>
      </c>
      <c r="Y187">
        <v>10</v>
      </c>
      <c r="Z187">
        <v>10</v>
      </c>
      <c r="AA187">
        <v>10</v>
      </c>
      <c r="AB187">
        <v>1500</v>
      </c>
      <c r="AC187">
        <v>1440</v>
      </c>
      <c r="AD187">
        <v>1440</v>
      </c>
      <c r="AE187">
        <v>0</v>
      </c>
      <c r="AF187">
        <v>0</v>
      </c>
      <c r="AG187">
        <v>0</v>
      </c>
      <c r="AH187">
        <v>0</v>
      </c>
      <c r="AI187">
        <v>352</v>
      </c>
      <c r="AJ187">
        <v>0</v>
      </c>
      <c r="AK187">
        <v>0</v>
      </c>
      <c r="AL187">
        <v>0</v>
      </c>
      <c r="AM187">
        <v>0</v>
      </c>
      <c r="AN187">
        <v>180</v>
      </c>
      <c r="AO187">
        <v>0</v>
      </c>
      <c r="AP187">
        <v>8</v>
      </c>
      <c r="AQ187">
        <v>0</v>
      </c>
      <c r="AR187">
        <v>0</v>
      </c>
      <c r="AS187" t="s">
        <v>59</v>
      </c>
      <c r="AT187">
        <v>1</v>
      </c>
      <c r="AU187" t="s">
        <v>60</v>
      </c>
      <c r="AV187" t="s">
        <v>65</v>
      </c>
      <c r="AW187">
        <v>1</v>
      </c>
      <c r="AX187">
        <v>3</v>
      </c>
      <c r="AY187">
        <v>0</v>
      </c>
      <c r="AZ187">
        <v>0</v>
      </c>
      <c r="BA187">
        <v>100</v>
      </c>
      <c r="BB187">
        <v>100</v>
      </c>
      <c r="BC187">
        <v>100</v>
      </c>
      <c r="BD187">
        <v>100</v>
      </c>
      <c r="BE187">
        <v>1</v>
      </c>
      <c r="BF187">
        <v>15000</v>
      </c>
      <c r="BG187">
        <v>1000</v>
      </c>
      <c r="BH187" s="8">
        <f>Granger_Inventory[[#This Row],[land_extract]]*Lookups!$B$3</f>
        <v>53404.391900862691</v>
      </c>
      <c r="BI187" s="8">
        <f>IF(Granger_Inventory[[#This Row],[bldg_style]]="",0,Lookups!$B$2)</f>
        <v>29703.559000000001</v>
      </c>
      <c r="BJ187" s="8">
        <f>_xlfn.IFNA(VLOOKUP(Granger_Inventory[[#This Row],[quality]],Lookups!$H$2:$J$14,3,FALSE),0)</f>
        <v>56414</v>
      </c>
      <c r="BK187" s="8">
        <f>_xlfn.IFNA(VLOOKUP(Granger_Inventory[[#This Row],[condition]],Lookups!$H$17:$J$24,3,FALSE),0)</f>
        <v>101774</v>
      </c>
      <c r="BL187" s="8">
        <f>Granger_Inventory[[#This Row],[Age]]*Lookups!$B$16</f>
        <v>-2073.3109999999997</v>
      </c>
      <c r="BM187" s="8">
        <f>Granger_Inventory[[#This Row],[living_area]]*Lookups!$B$17</f>
        <v>96872.988960000002</v>
      </c>
      <c r="BN187" s="8">
        <f>(Granger_Inventory[[#This Row],[att_gar]]+Granger_Inventory[[#This Row],[blt_gar]])*Lookups!$B$18</f>
        <v>17053.550272</v>
      </c>
      <c r="BO187" s="8">
        <f>Granger_Inventory[[#This Row],[Patio]]*Lookups!$B$19</f>
        <v>0</v>
      </c>
      <c r="BP187" s="8">
        <f>SUM(Granger_Inventory[[#This Row],[Intercept]:[Patio_Value]])*Granger_Inventory[[#This Row],[res_pct]]</f>
        <v>299744.78723200003</v>
      </c>
      <c r="BQ187" s="8">
        <f>Granger_Inventory[[#This Row],[land_value]]</f>
        <v>53404.391900862691</v>
      </c>
      <c r="BR187" s="4">
        <f>_xlfn.IFNA(VLOOKUP(Granger_Inventory[[#This Row],[quality]],Lookups!$A$25:$C$35,3,FALSE),1)</f>
        <v>0.98791809110152173</v>
      </c>
      <c r="BS187" s="4">
        <f>_xlfn.IFNA(VLOOKUP(Granger_Inventory[[#This Row],[condition]],Lookups!$A$38:$C$45,3,FALSE),1)</f>
        <v>0.99135053432734199</v>
      </c>
      <c r="BT187" s="4">
        <f>IF(Granger_Inventory[[#This Row],[decade]]="",1,_xlfn.IFNA(VLOOKUP(Granger_Inventory[[#This Row],[decade]],Lookups!$G$28:$I$42,3,FALSE),1))</f>
        <v>0.95532362136731586</v>
      </c>
      <c r="BU187" s="4">
        <f>_xlfn.IFNA(VLOOKUP(Granger_Inventory[[#This Row],[living_area_range]],Lookups!$A$48:$C$57,3,FALSE),1)</f>
        <v>0.97960506760539345</v>
      </c>
      <c r="BV187" s="4">
        <f>AVERAGE(Granger_Inventory[[#This Row],[qual_adj]:[living_range_adj]])</f>
        <v>0.97854932860039323</v>
      </c>
      <c r="BW187" s="8">
        <f>(Granger_Inventory[[#This Row],[sum_land]]-IF(Granger_Inventory[[#This Row],[no_utilities]]=1,12000,0))/IF(Granger_Inventory[[#This Row],[unbuildable]]=1,2,1)</f>
        <v>53404.391900862691</v>
      </c>
      <c r="BX187" s="8">
        <f>Granger_Inventory[[#This Row],[pre_res]]*Granger_Inventory[[#This Row],[overall_adj]]</f>
        <v>293315.06029734138</v>
      </c>
      <c r="BY187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187">
        <f>ROUND(Granger_Inventory[[#This Row],[detatched_value]]*Lookups!$I$45,-2)</f>
        <v>0</v>
      </c>
      <c r="CA187">
        <f>IF(ROUND(Granger_Inventory[[#This Row],[adj_res]]*Lookups!$I$45,-2)&lt;Granger_Inventory[[#This Row],[min_res]],Granger_Inventory[[#This Row],[min_res]],ROUND(Granger_Inventory[[#This Row],[adj_res]]*Lookups!$I$45,-2))</f>
        <v>278600</v>
      </c>
      <c r="CB187">
        <f>Granger_Inventory[[#This Row],[final_det]]+Granger_Inventory[[#This Row],[final_res]]</f>
        <v>278600</v>
      </c>
      <c r="CC187">
        <f>Granger_Inventory[[#This Row],[final_land]]+Granger_Inventory[[#This Row],[final_imp]]+Granger_Inventory[[#This Row],[crop_value]]</f>
        <v>329300</v>
      </c>
      <c r="CE187" t="str">
        <f t="shared" si="2"/>
        <v>update valuation set market_land =50700, market_bldg=278600, market_total =329300, market_mdno =402, market_date ='9/10/2023' where link_id = (select link_id from parcel where parcel_year = '2024' and parcel_id = '21101641584');</v>
      </c>
    </row>
    <row r="188" spans="1:83" x14ac:dyDescent="0.25">
      <c r="A188">
        <v>21101641585</v>
      </c>
      <c r="B188">
        <v>0.9</v>
      </c>
      <c r="C188" t="s">
        <v>137</v>
      </c>
      <c r="D188" t="s">
        <v>137</v>
      </c>
      <c r="E188" t="s">
        <v>54</v>
      </c>
      <c r="F188" t="s">
        <v>54</v>
      </c>
      <c r="G188">
        <v>3</v>
      </c>
      <c r="H188" t="s">
        <v>55</v>
      </c>
      <c r="I188">
        <v>443200</v>
      </c>
      <c r="J188">
        <v>37000</v>
      </c>
      <c r="K188">
        <v>0.9</v>
      </c>
      <c r="L188">
        <f>IF(Granger_Inventory[[#This Row],[parcel_acres]]-Granger_Inventory[[#This Row],[non_valued_acres]] =0,0,LN(Granger_Inventory[[#This Row],[parcel_acres]]-Granger_Inventory[[#This Row],[non_valued_acres]]))</f>
        <v>-0.10536051565782628</v>
      </c>
      <c r="M188">
        <v>0</v>
      </c>
      <c r="N188">
        <v>0</v>
      </c>
      <c r="O188">
        <v>0</v>
      </c>
      <c r="P188">
        <v>47108.068500000001</v>
      </c>
      <c r="Q188">
        <v>122298</v>
      </c>
      <c r="R188">
        <f>(Granger_Inventory[[#This Row],[ln_acres]]*Granger_Inventory[[#This Row],[coeff]])+Granger_Inventory[[#This Row],[const]]</f>
        <v>117334.6696111958</v>
      </c>
      <c r="S188" t="s">
        <v>59</v>
      </c>
      <c r="T188">
        <v>1</v>
      </c>
      <c r="U188" t="s">
        <v>61</v>
      </c>
      <c r="V188" t="s">
        <v>58</v>
      </c>
      <c r="W188">
        <v>0</v>
      </c>
      <c r="X188">
        <v>0</v>
      </c>
      <c r="Y188">
        <v>10</v>
      </c>
      <c r="Z188">
        <v>10</v>
      </c>
      <c r="AA188">
        <v>10</v>
      </c>
      <c r="AB188">
        <v>2500</v>
      </c>
      <c r="AC188">
        <v>2324</v>
      </c>
      <c r="AD188">
        <v>2324</v>
      </c>
      <c r="AE188">
        <v>0</v>
      </c>
      <c r="AF188">
        <v>0</v>
      </c>
      <c r="AG188">
        <v>0</v>
      </c>
      <c r="AH188">
        <v>0</v>
      </c>
      <c r="AI188">
        <v>775</v>
      </c>
      <c r="AJ188">
        <v>0</v>
      </c>
      <c r="AK188">
        <v>0</v>
      </c>
      <c r="AL188">
        <v>0</v>
      </c>
      <c r="AM188">
        <v>0</v>
      </c>
      <c r="AN188">
        <v>580</v>
      </c>
      <c r="AO188">
        <v>0</v>
      </c>
      <c r="AP188">
        <v>13</v>
      </c>
      <c r="AQ188">
        <v>0</v>
      </c>
      <c r="AR188">
        <v>0</v>
      </c>
      <c r="AS188" t="s">
        <v>59</v>
      </c>
      <c r="AT188">
        <v>1</v>
      </c>
      <c r="AU188" t="s">
        <v>60</v>
      </c>
      <c r="AV188" t="s">
        <v>65</v>
      </c>
      <c r="AW188">
        <v>1</v>
      </c>
      <c r="AX188">
        <v>4</v>
      </c>
      <c r="AY188">
        <v>0</v>
      </c>
      <c r="AZ188">
        <v>0</v>
      </c>
      <c r="BA188">
        <v>100</v>
      </c>
      <c r="BB188">
        <v>100</v>
      </c>
      <c r="BC188">
        <v>100</v>
      </c>
      <c r="BD188">
        <v>100</v>
      </c>
      <c r="BE188">
        <v>1</v>
      </c>
      <c r="BF188">
        <v>15000</v>
      </c>
      <c r="BG188">
        <v>1000</v>
      </c>
      <c r="BH188" s="8">
        <f>Granger_Inventory[[#This Row],[land_extract]]*Lookups!$B$3</f>
        <v>69899.876595213369</v>
      </c>
      <c r="BI188" s="8">
        <f>IF(Granger_Inventory[[#This Row],[bldg_style]]="",0,Lookups!$B$2)</f>
        <v>29703.559000000001</v>
      </c>
      <c r="BJ188" s="8">
        <f>_xlfn.IFNA(VLOOKUP(Granger_Inventory[[#This Row],[quality]],Lookups!$H$2:$J$14,3,FALSE),0)</f>
        <v>71767</v>
      </c>
      <c r="BK188" s="8">
        <f>_xlfn.IFNA(VLOOKUP(Granger_Inventory[[#This Row],[condition]],Lookups!$H$17:$J$24,3,FALSE),0)</f>
        <v>101774</v>
      </c>
      <c r="BL188" s="8">
        <f>Granger_Inventory[[#This Row],[Age]]*Lookups!$B$16</f>
        <v>-2073.3109999999997</v>
      </c>
      <c r="BM188" s="8">
        <f>Granger_Inventory[[#This Row],[living_area]]*Lookups!$B$17</f>
        <v>156342.24051599999</v>
      </c>
      <c r="BN188" s="8">
        <f>(Granger_Inventory[[#This Row],[att_gar]]+Granger_Inventory[[#This Row],[blt_gar]])*Lookups!$B$18</f>
        <v>37546.879150000001</v>
      </c>
      <c r="BO188" s="8">
        <f>Granger_Inventory[[#This Row],[Patio]]*Lookups!$B$19</f>
        <v>0</v>
      </c>
      <c r="BP188" s="8">
        <f>SUM(Granger_Inventory[[#This Row],[Intercept]:[Patio_Value]])*Granger_Inventory[[#This Row],[res_pct]]</f>
        <v>395060.36766599998</v>
      </c>
      <c r="BQ188" s="8">
        <f>Granger_Inventory[[#This Row],[land_value]]</f>
        <v>69899.876595213369</v>
      </c>
      <c r="BR188" s="4">
        <f>_xlfn.IFNA(VLOOKUP(Granger_Inventory[[#This Row],[quality]],Lookups!$A$25:$C$35,3,FALSE),1)</f>
        <v>0.992092799099482</v>
      </c>
      <c r="BS188" s="4">
        <f>_xlfn.IFNA(VLOOKUP(Granger_Inventory[[#This Row],[condition]],Lookups!$A$38:$C$45,3,FALSE),1)</f>
        <v>0.99135053432734199</v>
      </c>
      <c r="BT188" s="4">
        <f>IF(Granger_Inventory[[#This Row],[decade]]="",1,_xlfn.IFNA(VLOOKUP(Granger_Inventory[[#This Row],[decade]],Lookups!$G$28:$I$42,3,FALSE),1))</f>
        <v>0.95532362136731586</v>
      </c>
      <c r="BU188" s="4">
        <f>_xlfn.IFNA(VLOOKUP(Granger_Inventory[[#This Row],[living_area_range]],Lookups!$A$48:$C$57,3,FALSE),1)</f>
        <v>1.0000039906678986</v>
      </c>
      <c r="BV188" s="4">
        <f>AVERAGE(Granger_Inventory[[#This Row],[qual_adj]:[living_range_adj]])</f>
        <v>0.98469273636550958</v>
      </c>
      <c r="BW188" s="8">
        <f>(Granger_Inventory[[#This Row],[sum_land]]-IF(Granger_Inventory[[#This Row],[no_utilities]]=1,12000,0))/IF(Granger_Inventory[[#This Row],[unbuildable]]=1,2,1)</f>
        <v>69899.876595213369</v>
      </c>
      <c r="BX188" s="8">
        <f>Granger_Inventory[[#This Row],[pre_res]]*Granger_Inventory[[#This Row],[overall_adj]]</f>
        <v>389013.07446659781</v>
      </c>
      <c r="BY188">
        <f>IF(ROUND(Granger_Inventory[[#This Row],[adj_land]]*Lookups!$I$45,-2)&lt;Granger_Inventory[[#This Row],[min_land]],Granger_Inventory[[#This Row],[min_land]],ROUND(Granger_Inventory[[#This Row],[adj_land]]*Lookups!$I$45,-2))</f>
        <v>66400</v>
      </c>
      <c r="BZ188">
        <f>ROUND(Granger_Inventory[[#This Row],[detatched_value]]*Lookups!$I$45,-2)</f>
        <v>0</v>
      </c>
      <c r="CA188">
        <f>IF(ROUND(Granger_Inventory[[#This Row],[adj_res]]*Lookups!$I$45,-2)&lt;Granger_Inventory[[#This Row],[min_res]],Granger_Inventory[[#This Row],[min_res]],ROUND(Granger_Inventory[[#This Row],[adj_res]]*Lookups!$I$45,-2))</f>
        <v>369600</v>
      </c>
      <c r="CB188">
        <f>Granger_Inventory[[#This Row],[final_det]]+Granger_Inventory[[#This Row],[final_res]]</f>
        <v>369600</v>
      </c>
      <c r="CC188">
        <f>Granger_Inventory[[#This Row],[final_land]]+Granger_Inventory[[#This Row],[final_imp]]+Granger_Inventory[[#This Row],[crop_value]]</f>
        <v>436000</v>
      </c>
      <c r="CE188" t="str">
        <f t="shared" si="2"/>
        <v>update valuation set market_land =66400, market_bldg=369600, market_total =436000, market_mdno =402, market_date ='9/10/2023' where link_id = (select link_id from parcel where parcel_year = '2024' and parcel_id = '21101641585');</v>
      </c>
    </row>
    <row r="189" spans="1:83" x14ac:dyDescent="0.25">
      <c r="A189">
        <v>21101641586</v>
      </c>
      <c r="B189">
        <v>0.95</v>
      </c>
      <c r="C189" t="s">
        <v>137</v>
      </c>
      <c r="D189" t="s">
        <v>137</v>
      </c>
      <c r="E189" t="s">
        <v>54</v>
      </c>
      <c r="F189" t="s">
        <v>54</v>
      </c>
      <c r="G189">
        <v>3</v>
      </c>
      <c r="H189" t="s">
        <v>55</v>
      </c>
      <c r="I189">
        <v>383600</v>
      </c>
      <c r="J189">
        <v>37300</v>
      </c>
      <c r="K189">
        <v>0.95</v>
      </c>
      <c r="L189">
        <f>IF(Granger_Inventory[[#This Row],[parcel_acres]]-Granger_Inventory[[#This Row],[non_valued_acres]] =0,0,LN(Granger_Inventory[[#This Row],[parcel_acres]]-Granger_Inventory[[#This Row],[non_valued_acres]]))</f>
        <v>-5.1293294387550578E-2</v>
      </c>
      <c r="M189">
        <v>0</v>
      </c>
      <c r="N189">
        <v>0</v>
      </c>
      <c r="O189">
        <v>0</v>
      </c>
      <c r="P189">
        <v>47108.068500000001</v>
      </c>
      <c r="Q189">
        <v>122298</v>
      </c>
      <c r="R189">
        <f>(Granger_Inventory[[#This Row],[ln_acres]]*Granger_Inventory[[#This Row],[coeff]])+Granger_Inventory[[#This Row],[const]]</f>
        <v>119881.6719744006</v>
      </c>
      <c r="S189" t="s">
        <v>59</v>
      </c>
      <c r="T189">
        <v>1</v>
      </c>
      <c r="U189" t="s">
        <v>61</v>
      </c>
      <c r="V189" t="s">
        <v>58</v>
      </c>
      <c r="W189">
        <v>0</v>
      </c>
      <c r="X189">
        <v>0</v>
      </c>
      <c r="Y189">
        <v>10</v>
      </c>
      <c r="Z189">
        <v>10</v>
      </c>
      <c r="AA189">
        <v>10</v>
      </c>
      <c r="AB189">
        <v>2000</v>
      </c>
      <c r="AC189">
        <v>1740</v>
      </c>
      <c r="AD189">
        <v>1740</v>
      </c>
      <c r="AE189">
        <v>0</v>
      </c>
      <c r="AF189">
        <v>0</v>
      </c>
      <c r="AG189">
        <v>0</v>
      </c>
      <c r="AH189">
        <v>0</v>
      </c>
      <c r="AI189">
        <v>598</v>
      </c>
      <c r="AJ189">
        <v>0</v>
      </c>
      <c r="AK189">
        <v>0</v>
      </c>
      <c r="AL189">
        <v>0</v>
      </c>
      <c r="AM189">
        <v>0</v>
      </c>
      <c r="AN189">
        <v>180</v>
      </c>
      <c r="AO189">
        <v>0</v>
      </c>
      <c r="AP189">
        <v>9</v>
      </c>
      <c r="AQ189">
        <v>0</v>
      </c>
      <c r="AR189">
        <v>0</v>
      </c>
      <c r="AS189" t="s">
        <v>59</v>
      </c>
      <c r="AT189">
        <v>1</v>
      </c>
      <c r="AU189" t="s">
        <v>63</v>
      </c>
      <c r="AV189" t="s">
        <v>65</v>
      </c>
      <c r="AW189">
        <v>1</v>
      </c>
      <c r="AX189">
        <v>4</v>
      </c>
      <c r="AY189">
        <v>0</v>
      </c>
      <c r="AZ189">
        <v>7700</v>
      </c>
      <c r="BA189">
        <v>100</v>
      </c>
      <c r="BB189">
        <v>100</v>
      </c>
      <c r="BC189">
        <v>100</v>
      </c>
      <c r="BD189">
        <v>100</v>
      </c>
      <c r="BE189">
        <v>1</v>
      </c>
      <c r="BF189">
        <v>15000</v>
      </c>
      <c r="BG189">
        <v>1000</v>
      </c>
      <c r="BH189" s="8">
        <f>Granger_Inventory[[#This Row],[land_extract]]*Lookups!$B$3</f>
        <v>71417.204350647255</v>
      </c>
      <c r="BI189" s="8">
        <f>IF(Granger_Inventory[[#This Row],[bldg_style]]="",0,Lookups!$B$2)</f>
        <v>29703.559000000001</v>
      </c>
      <c r="BJ189" s="8">
        <f>_xlfn.IFNA(VLOOKUP(Granger_Inventory[[#This Row],[quality]],Lookups!$H$2:$J$14,3,FALSE),0)</f>
        <v>71767</v>
      </c>
      <c r="BK189" s="8">
        <f>_xlfn.IFNA(VLOOKUP(Granger_Inventory[[#This Row],[condition]],Lookups!$H$17:$J$24,3,FALSE),0)</f>
        <v>101774</v>
      </c>
      <c r="BL189" s="8">
        <f>Granger_Inventory[[#This Row],[Age]]*Lookups!$B$16</f>
        <v>-2073.3109999999997</v>
      </c>
      <c r="BM189" s="8">
        <f>Granger_Inventory[[#This Row],[living_area]]*Lookups!$B$17</f>
        <v>117054.86166</v>
      </c>
      <c r="BN189" s="8">
        <f>(Granger_Inventory[[#This Row],[att_gar]]+Granger_Inventory[[#This Row],[blt_gar]])*Lookups!$B$18</f>
        <v>28971.656428000002</v>
      </c>
      <c r="BO189" s="8">
        <f>Granger_Inventory[[#This Row],[Patio]]*Lookups!$B$19</f>
        <v>0</v>
      </c>
      <c r="BP189" s="8">
        <f>SUM(Granger_Inventory[[#This Row],[Intercept]:[Patio_Value]])*Granger_Inventory[[#This Row],[res_pct]]</f>
        <v>347197.76608800003</v>
      </c>
      <c r="BQ189" s="8">
        <f>Granger_Inventory[[#This Row],[land_value]]</f>
        <v>71417.204350647255</v>
      </c>
      <c r="BR189" s="4">
        <f>_xlfn.IFNA(VLOOKUP(Granger_Inventory[[#This Row],[quality]],Lookups!$A$25:$C$35,3,FALSE),1)</f>
        <v>0.992092799099482</v>
      </c>
      <c r="BS189" s="4">
        <f>_xlfn.IFNA(VLOOKUP(Granger_Inventory[[#This Row],[condition]],Lookups!$A$38:$C$45,3,FALSE),1)</f>
        <v>0.99135053432734199</v>
      </c>
      <c r="BT189" s="4">
        <f>IF(Granger_Inventory[[#This Row],[decade]]="",1,_xlfn.IFNA(VLOOKUP(Granger_Inventory[[#This Row],[decade]],Lookups!$G$28:$I$42,3,FALSE),1))</f>
        <v>0.95532362136731586</v>
      </c>
      <c r="BU189" s="4">
        <f>_xlfn.IFNA(VLOOKUP(Granger_Inventory[[#This Row],[living_area_range]],Lookups!$A$48:$C$57,3,FALSE),1)</f>
        <v>0.97860968051050168</v>
      </c>
      <c r="BV189" s="4">
        <f>AVERAGE(Granger_Inventory[[#This Row],[qual_adj]:[living_range_adj]])</f>
        <v>0.97934415882616044</v>
      </c>
      <c r="BW189" s="8">
        <f>(Granger_Inventory[[#This Row],[sum_land]]-IF(Granger_Inventory[[#This Row],[no_utilities]]=1,12000,0))/IF(Granger_Inventory[[#This Row],[unbuildable]]=1,2,1)</f>
        <v>71417.204350647255</v>
      </c>
      <c r="BX189" s="8">
        <f>Granger_Inventory[[#This Row],[pre_res]]*Granger_Inventory[[#This Row],[overall_adj]]</f>
        <v>340026.10417577438</v>
      </c>
      <c r="BY189">
        <f>IF(ROUND(Granger_Inventory[[#This Row],[adj_land]]*Lookups!$I$45,-2)&lt;Granger_Inventory[[#This Row],[min_land]],Granger_Inventory[[#This Row],[min_land]],ROUND(Granger_Inventory[[#This Row],[adj_land]]*Lookups!$I$45,-2))</f>
        <v>67800</v>
      </c>
      <c r="BZ189">
        <f>ROUND(Granger_Inventory[[#This Row],[detatched_value]]*Lookups!$I$45,-2)</f>
        <v>7300</v>
      </c>
      <c r="CA189">
        <f>IF(ROUND(Granger_Inventory[[#This Row],[adj_res]]*Lookups!$I$45,-2)&lt;Granger_Inventory[[#This Row],[min_res]],Granger_Inventory[[#This Row],[min_res]],ROUND(Granger_Inventory[[#This Row],[adj_res]]*Lookups!$I$45,-2))</f>
        <v>323000</v>
      </c>
      <c r="CB189">
        <f>Granger_Inventory[[#This Row],[final_det]]+Granger_Inventory[[#This Row],[final_res]]</f>
        <v>330300</v>
      </c>
      <c r="CC189">
        <f>Granger_Inventory[[#This Row],[final_land]]+Granger_Inventory[[#This Row],[final_imp]]+Granger_Inventory[[#This Row],[crop_value]]</f>
        <v>398100</v>
      </c>
      <c r="CE189" t="str">
        <f t="shared" si="2"/>
        <v>update valuation set market_land =67800, market_bldg=330300, market_total =398100, market_mdno =402, market_date ='9/10/2023' where link_id = (select link_id from parcel where parcel_year = '2024' and parcel_id = '21101641586');</v>
      </c>
    </row>
    <row r="190" spans="1:83" x14ac:dyDescent="0.25">
      <c r="A190">
        <v>21101641587</v>
      </c>
      <c r="B190">
        <v>1.07</v>
      </c>
      <c r="C190" t="s">
        <v>137</v>
      </c>
      <c r="D190" t="s">
        <v>137</v>
      </c>
      <c r="E190" t="s">
        <v>54</v>
      </c>
      <c r="F190" t="s">
        <v>54</v>
      </c>
      <c r="G190">
        <v>3</v>
      </c>
      <c r="H190" t="s">
        <v>55</v>
      </c>
      <c r="I190">
        <v>414600</v>
      </c>
      <c r="J190">
        <v>38000</v>
      </c>
      <c r="K190">
        <v>1.07</v>
      </c>
      <c r="L190">
        <f>IF(Granger_Inventory[[#This Row],[parcel_acres]]-Granger_Inventory[[#This Row],[non_valued_acres]] =0,0,LN(Granger_Inventory[[#This Row],[parcel_acres]]-Granger_Inventory[[#This Row],[non_valued_acres]]))</f>
        <v>6.7658648473814864E-2</v>
      </c>
      <c r="M190">
        <v>0</v>
      </c>
      <c r="N190">
        <v>0</v>
      </c>
      <c r="O190">
        <v>0</v>
      </c>
      <c r="P190">
        <v>47108.068500000001</v>
      </c>
      <c r="Q190">
        <v>122298</v>
      </c>
      <c r="R190">
        <f>(Granger_Inventory[[#This Row],[ln_acres]]*Granger_Inventory[[#This Row],[coeff]])+Granger_Inventory[[#This Row],[const]]</f>
        <v>125485.26824692189</v>
      </c>
      <c r="S190" t="s">
        <v>59</v>
      </c>
      <c r="T190">
        <v>1</v>
      </c>
      <c r="U190" t="s">
        <v>61</v>
      </c>
      <c r="V190" t="s">
        <v>58</v>
      </c>
      <c r="W190">
        <v>0</v>
      </c>
      <c r="X190">
        <v>0</v>
      </c>
      <c r="Y190">
        <v>8</v>
      </c>
      <c r="Z190">
        <v>8</v>
      </c>
      <c r="AA190">
        <v>10</v>
      </c>
      <c r="AB190">
        <v>2500</v>
      </c>
      <c r="AC190">
        <v>2018</v>
      </c>
      <c r="AD190">
        <v>2018</v>
      </c>
      <c r="AE190">
        <v>0</v>
      </c>
      <c r="AF190">
        <v>0</v>
      </c>
      <c r="AG190">
        <v>0</v>
      </c>
      <c r="AH190">
        <v>0</v>
      </c>
      <c r="AI190">
        <v>780</v>
      </c>
      <c r="AJ190">
        <v>0</v>
      </c>
      <c r="AK190">
        <v>0</v>
      </c>
      <c r="AL190">
        <v>123</v>
      </c>
      <c r="AM190">
        <v>0</v>
      </c>
      <c r="AN190">
        <v>524</v>
      </c>
      <c r="AO190">
        <v>0</v>
      </c>
      <c r="AP190">
        <v>10</v>
      </c>
      <c r="AQ190">
        <v>0</v>
      </c>
      <c r="AR190">
        <v>0</v>
      </c>
      <c r="AS190" t="s">
        <v>59</v>
      </c>
      <c r="AT190">
        <v>1</v>
      </c>
      <c r="AU190" t="s">
        <v>63</v>
      </c>
      <c r="AV190" t="s">
        <v>65</v>
      </c>
      <c r="AW190">
        <v>1</v>
      </c>
      <c r="AX190">
        <v>4</v>
      </c>
      <c r="AY190">
        <v>0</v>
      </c>
      <c r="AZ190">
        <v>0</v>
      </c>
      <c r="BA190">
        <v>100</v>
      </c>
      <c r="BB190">
        <v>100</v>
      </c>
      <c r="BC190">
        <v>100</v>
      </c>
      <c r="BD190">
        <v>100</v>
      </c>
      <c r="BE190">
        <v>1</v>
      </c>
      <c r="BF190">
        <v>15000</v>
      </c>
      <c r="BG190">
        <v>1000</v>
      </c>
      <c r="BH190" s="8">
        <f>Granger_Inventory[[#This Row],[land_extract]]*Lookups!$B$3</f>
        <v>74755.439240953376</v>
      </c>
      <c r="BI190" s="8">
        <f>IF(Granger_Inventory[[#This Row],[bldg_style]]="",0,Lookups!$B$2)</f>
        <v>29703.559000000001</v>
      </c>
      <c r="BJ190" s="8">
        <f>_xlfn.IFNA(VLOOKUP(Granger_Inventory[[#This Row],[quality]],Lookups!$H$2:$J$14,3,FALSE),0)</f>
        <v>71767</v>
      </c>
      <c r="BK190" s="8">
        <f>_xlfn.IFNA(VLOOKUP(Granger_Inventory[[#This Row],[condition]],Lookups!$H$17:$J$24,3,FALSE),0)</f>
        <v>101774</v>
      </c>
      <c r="BL190" s="8">
        <f>Granger_Inventory[[#This Row],[Age]]*Lookups!$B$16</f>
        <v>-1658.6487999999999</v>
      </c>
      <c r="BM190" s="8">
        <f>Granger_Inventory[[#This Row],[living_area]]*Lookups!$B$17</f>
        <v>135756.730362</v>
      </c>
      <c r="BN190" s="8">
        <f>(Granger_Inventory[[#This Row],[att_gar]]+Granger_Inventory[[#This Row],[blt_gar]])*Lookups!$B$18</f>
        <v>37789.117080000004</v>
      </c>
      <c r="BO190" s="8">
        <f>Granger_Inventory[[#This Row],[Patio]]*Lookups!$B$19</f>
        <v>0</v>
      </c>
      <c r="BP190" s="8">
        <f>SUM(Granger_Inventory[[#This Row],[Intercept]:[Patio_Value]])*Granger_Inventory[[#This Row],[res_pct]]</f>
        <v>375131.75764199998</v>
      </c>
      <c r="BQ190" s="8">
        <f>Granger_Inventory[[#This Row],[land_value]]</f>
        <v>74755.439240953376</v>
      </c>
      <c r="BR190" s="4">
        <f>_xlfn.IFNA(VLOOKUP(Granger_Inventory[[#This Row],[quality]],Lookups!$A$25:$C$35,3,FALSE),1)</f>
        <v>0.992092799099482</v>
      </c>
      <c r="BS190" s="4">
        <f>_xlfn.IFNA(VLOOKUP(Granger_Inventory[[#This Row],[condition]],Lookups!$A$38:$C$45,3,FALSE),1)</f>
        <v>0.99135053432734199</v>
      </c>
      <c r="BT190" s="4">
        <f>IF(Granger_Inventory[[#This Row],[decade]]="",1,_xlfn.IFNA(VLOOKUP(Granger_Inventory[[#This Row],[decade]],Lookups!$G$28:$I$42,3,FALSE),1))</f>
        <v>0.95532362136731586</v>
      </c>
      <c r="BU190" s="4">
        <f>_xlfn.IFNA(VLOOKUP(Granger_Inventory[[#This Row],[living_area_range]],Lookups!$A$48:$C$57,3,FALSE),1)</f>
        <v>1.0000039906678986</v>
      </c>
      <c r="BV190" s="4">
        <f>AVERAGE(Granger_Inventory[[#This Row],[qual_adj]:[living_range_adj]])</f>
        <v>0.98469273636550958</v>
      </c>
      <c r="BW190" s="8">
        <f>(Granger_Inventory[[#This Row],[sum_land]]-IF(Granger_Inventory[[#This Row],[no_utilities]]=1,12000,0))/IF(Granger_Inventory[[#This Row],[unbuildable]]=1,2,1)</f>
        <v>74755.439240953376</v>
      </c>
      <c r="BX190" s="8">
        <f>Granger_Inventory[[#This Row],[pre_res]]*Granger_Inventory[[#This Row],[overall_adj]]</f>
        <v>369389.51693010412</v>
      </c>
      <c r="BY190">
        <f>IF(ROUND(Granger_Inventory[[#This Row],[adj_land]]*Lookups!$I$45,-2)&lt;Granger_Inventory[[#This Row],[min_land]],Granger_Inventory[[#This Row],[min_land]],ROUND(Granger_Inventory[[#This Row],[adj_land]]*Lookups!$I$45,-2))</f>
        <v>71000</v>
      </c>
      <c r="BZ190">
        <f>ROUND(Granger_Inventory[[#This Row],[detatched_value]]*Lookups!$I$45,-2)</f>
        <v>0</v>
      </c>
      <c r="CA190">
        <f>IF(ROUND(Granger_Inventory[[#This Row],[adj_res]]*Lookups!$I$45,-2)&lt;Granger_Inventory[[#This Row],[min_res]],Granger_Inventory[[#This Row],[min_res]],ROUND(Granger_Inventory[[#This Row],[adj_res]]*Lookups!$I$45,-2))</f>
        <v>350900</v>
      </c>
      <c r="CB190">
        <f>Granger_Inventory[[#This Row],[final_det]]+Granger_Inventory[[#This Row],[final_res]]</f>
        <v>350900</v>
      </c>
      <c r="CC190">
        <f>Granger_Inventory[[#This Row],[final_land]]+Granger_Inventory[[#This Row],[final_imp]]+Granger_Inventory[[#This Row],[crop_value]]</f>
        <v>421900</v>
      </c>
      <c r="CE190" t="str">
        <f t="shared" si="2"/>
        <v>update valuation set market_land =71000, market_bldg=350900, market_total =421900, market_mdno =402, market_date ='9/10/2023' where link_id = (select link_id from parcel where parcel_year = '2024' and parcel_id = '21101641587');</v>
      </c>
    </row>
    <row r="191" spans="1:83" x14ac:dyDescent="0.25">
      <c r="A191">
        <v>21101641588</v>
      </c>
      <c r="B191" t="s">
        <v>137</v>
      </c>
      <c r="C191">
        <v>14799</v>
      </c>
      <c r="D191" t="s">
        <v>137</v>
      </c>
      <c r="E191" t="s">
        <v>54</v>
      </c>
      <c r="F191" t="s">
        <v>54</v>
      </c>
      <c r="G191">
        <v>3</v>
      </c>
      <c r="H191" t="s">
        <v>55</v>
      </c>
      <c r="I191">
        <v>280000</v>
      </c>
      <c r="J191">
        <v>29200</v>
      </c>
      <c r="K191">
        <v>0.34</v>
      </c>
      <c r="L191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191">
        <v>0</v>
      </c>
      <c r="N191">
        <v>0</v>
      </c>
      <c r="O191">
        <v>0</v>
      </c>
      <c r="P191">
        <v>47108.068500000001</v>
      </c>
      <c r="Q191">
        <v>122298</v>
      </c>
      <c r="R191">
        <f>(Granger_Inventory[[#This Row],[ln_acres]]*Granger_Inventory[[#This Row],[coeff]])+Granger_Inventory[[#This Row],[const]]</f>
        <v>71477.360573629325</v>
      </c>
      <c r="S191" t="s">
        <v>62</v>
      </c>
      <c r="T191">
        <v>1</v>
      </c>
      <c r="U191" t="s">
        <v>57</v>
      </c>
      <c r="V191" t="s">
        <v>58</v>
      </c>
      <c r="W191">
        <v>0</v>
      </c>
      <c r="X191">
        <v>0</v>
      </c>
      <c r="Y191">
        <v>1</v>
      </c>
      <c r="Z191">
        <v>1</v>
      </c>
      <c r="AA191">
        <v>10</v>
      </c>
      <c r="AB191">
        <v>1500</v>
      </c>
      <c r="AC191">
        <v>1456</v>
      </c>
      <c r="AD191">
        <v>1456</v>
      </c>
      <c r="AE191">
        <v>0</v>
      </c>
      <c r="AF191">
        <v>0</v>
      </c>
      <c r="AG191">
        <v>0</v>
      </c>
      <c r="AH191">
        <v>0</v>
      </c>
      <c r="AI191">
        <v>484</v>
      </c>
      <c r="AJ191">
        <v>0</v>
      </c>
      <c r="AK191">
        <v>0</v>
      </c>
      <c r="AL191">
        <v>0</v>
      </c>
      <c r="AM191">
        <v>0</v>
      </c>
      <c r="AN191">
        <v>128</v>
      </c>
      <c r="AO191">
        <v>0</v>
      </c>
      <c r="AP191">
        <v>8</v>
      </c>
      <c r="AQ191">
        <v>0</v>
      </c>
      <c r="AR191">
        <v>0</v>
      </c>
      <c r="AS191" t="s">
        <v>59</v>
      </c>
      <c r="AT191">
        <v>1</v>
      </c>
      <c r="AU191" t="s">
        <v>63</v>
      </c>
      <c r="AV191" t="s">
        <v>61</v>
      </c>
      <c r="AW191">
        <v>1</v>
      </c>
      <c r="AX191">
        <v>3</v>
      </c>
      <c r="AY191">
        <v>0</v>
      </c>
      <c r="AZ191">
        <v>0</v>
      </c>
      <c r="BA191">
        <v>100</v>
      </c>
      <c r="BB191">
        <v>100</v>
      </c>
      <c r="BC191">
        <v>100</v>
      </c>
      <c r="BD191">
        <v>100</v>
      </c>
      <c r="BE191">
        <v>1</v>
      </c>
      <c r="BF191">
        <v>15000</v>
      </c>
      <c r="BG191">
        <v>1000</v>
      </c>
      <c r="BH191" s="8">
        <f>Granger_Inventory[[#This Row],[land_extract]]*Lookups!$B$3</f>
        <v>42581.265196416658</v>
      </c>
      <c r="BI191" s="8">
        <f>IF(Granger_Inventory[[#This Row],[bldg_style]]="",0,Lookups!$B$2)</f>
        <v>29703.559000000001</v>
      </c>
      <c r="BJ191" s="8">
        <f>_xlfn.IFNA(VLOOKUP(Granger_Inventory[[#This Row],[quality]],Lookups!$H$2:$J$14,3,FALSE),0)</f>
        <v>56414</v>
      </c>
      <c r="BK191" s="8">
        <f>_xlfn.IFNA(VLOOKUP(Granger_Inventory[[#This Row],[condition]],Lookups!$H$17:$J$24,3,FALSE),0)</f>
        <v>101774</v>
      </c>
      <c r="BL191" s="8">
        <f>Granger_Inventory[[#This Row],[Age]]*Lookups!$B$16</f>
        <v>-207.33109999999999</v>
      </c>
      <c r="BM191" s="8">
        <f>Granger_Inventory[[#This Row],[living_area]]*Lookups!$B$17</f>
        <v>97949.355503999992</v>
      </c>
      <c r="BN191" s="8">
        <f>(Granger_Inventory[[#This Row],[att_gar]]+Granger_Inventory[[#This Row],[blt_gar]])*Lookups!$B$18</f>
        <v>23448.631624000001</v>
      </c>
      <c r="BO191" s="8">
        <f>Granger_Inventory[[#This Row],[Patio]]*Lookups!$B$19</f>
        <v>0</v>
      </c>
      <c r="BP191" s="8">
        <f>SUM(Granger_Inventory[[#This Row],[Intercept]:[Patio_Value]])*Granger_Inventory[[#This Row],[res_pct]]</f>
        <v>309082.21502799995</v>
      </c>
      <c r="BQ191" s="8">
        <f>Granger_Inventory[[#This Row],[land_value]]</f>
        <v>42581.265196416658</v>
      </c>
      <c r="BR191" s="4">
        <f>_xlfn.IFNA(VLOOKUP(Granger_Inventory[[#This Row],[quality]],Lookups!$A$25:$C$35,3,FALSE),1)</f>
        <v>0.98791809110152173</v>
      </c>
      <c r="BS191" s="4">
        <f>_xlfn.IFNA(VLOOKUP(Granger_Inventory[[#This Row],[condition]],Lookups!$A$38:$C$45,3,FALSE),1)</f>
        <v>0.99135053432734199</v>
      </c>
      <c r="BT191" s="4">
        <f>IF(Granger_Inventory[[#This Row],[decade]]="",1,_xlfn.IFNA(VLOOKUP(Granger_Inventory[[#This Row],[decade]],Lookups!$G$28:$I$42,3,FALSE),1))</f>
        <v>0.95532362136731586</v>
      </c>
      <c r="BU191" s="4">
        <f>_xlfn.IFNA(VLOOKUP(Granger_Inventory[[#This Row],[living_area_range]],Lookups!$A$48:$C$57,3,FALSE),1)</f>
        <v>0.97960506760539345</v>
      </c>
      <c r="BV191" s="4">
        <f>AVERAGE(Granger_Inventory[[#This Row],[qual_adj]:[living_range_adj]])</f>
        <v>0.97854932860039323</v>
      </c>
      <c r="BW191" s="8">
        <f>(Granger_Inventory[[#This Row],[sum_land]]-IF(Granger_Inventory[[#This Row],[no_utilities]]=1,12000,0))/IF(Granger_Inventory[[#This Row],[unbuildable]]=1,2,1)</f>
        <v>42581.265196416658</v>
      </c>
      <c r="BX191" s="8">
        <f>Granger_Inventory[[#This Row],[pre_res]]*Granger_Inventory[[#This Row],[overall_adj]]</f>
        <v>302452.19399797171</v>
      </c>
      <c r="BY191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191">
        <f>ROUND(Granger_Inventory[[#This Row],[detatched_value]]*Lookups!$I$45,-2)</f>
        <v>0</v>
      </c>
      <c r="CA191">
        <f>IF(ROUND(Granger_Inventory[[#This Row],[adj_res]]*Lookups!$I$45,-2)&lt;Granger_Inventory[[#This Row],[min_res]],Granger_Inventory[[#This Row],[min_res]],ROUND(Granger_Inventory[[#This Row],[adj_res]]*Lookups!$I$45,-2))</f>
        <v>287300</v>
      </c>
      <c r="CB191">
        <f>Granger_Inventory[[#This Row],[final_det]]+Granger_Inventory[[#This Row],[final_res]]</f>
        <v>287300</v>
      </c>
      <c r="CC191">
        <f>Granger_Inventory[[#This Row],[final_land]]+Granger_Inventory[[#This Row],[final_imp]]+Granger_Inventory[[#This Row],[crop_value]]</f>
        <v>327800</v>
      </c>
      <c r="CE191" t="str">
        <f t="shared" si="2"/>
        <v>update valuation set market_land =40500, market_bldg=287300, market_total =327800, market_mdno =402, market_date ='9/10/2023' where link_id = (select link_id from parcel where parcel_year = '2024' and parcel_id = '21101641588');</v>
      </c>
    </row>
    <row r="192" spans="1:83" x14ac:dyDescent="0.25">
      <c r="A192">
        <v>21101641589</v>
      </c>
      <c r="B192" t="s">
        <v>137</v>
      </c>
      <c r="C192">
        <v>14799</v>
      </c>
      <c r="D192" t="s">
        <v>137</v>
      </c>
      <c r="E192" t="s">
        <v>54</v>
      </c>
      <c r="F192" t="s">
        <v>54</v>
      </c>
      <c r="G192">
        <v>3</v>
      </c>
      <c r="H192" t="s">
        <v>55</v>
      </c>
      <c r="I192">
        <v>168000</v>
      </c>
      <c r="J192">
        <v>29200</v>
      </c>
      <c r="K192">
        <v>0.34</v>
      </c>
      <c r="L192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192">
        <v>0</v>
      </c>
      <c r="N192">
        <v>0</v>
      </c>
      <c r="O192">
        <v>0</v>
      </c>
      <c r="P192">
        <v>47108.068500000001</v>
      </c>
      <c r="Q192">
        <v>122298</v>
      </c>
      <c r="R192">
        <f>(Granger_Inventory[[#This Row],[ln_acres]]*Granger_Inventory[[#This Row],[coeff]])+Granger_Inventory[[#This Row],[const]]</f>
        <v>71477.360573629325</v>
      </c>
      <c r="S192" t="s">
        <v>62</v>
      </c>
      <c r="T192">
        <v>1</v>
      </c>
      <c r="U192" t="s">
        <v>57</v>
      </c>
      <c r="V192" t="s">
        <v>58</v>
      </c>
      <c r="W192">
        <v>0</v>
      </c>
      <c r="X192">
        <v>0</v>
      </c>
      <c r="Y192">
        <v>1</v>
      </c>
      <c r="Z192">
        <v>1</v>
      </c>
      <c r="AA192">
        <v>10</v>
      </c>
      <c r="AB192">
        <v>1500</v>
      </c>
      <c r="AC192">
        <v>1456</v>
      </c>
      <c r="AD192">
        <v>1456</v>
      </c>
      <c r="AE192">
        <v>0</v>
      </c>
      <c r="AF192">
        <v>0</v>
      </c>
      <c r="AG192">
        <v>0</v>
      </c>
      <c r="AH192">
        <v>0</v>
      </c>
      <c r="AI192">
        <v>484</v>
      </c>
      <c r="AJ192">
        <v>0</v>
      </c>
      <c r="AK192">
        <v>0</v>
      </c>
      <c r="AL192">
        <v>0</v>
      </c>
      <c r="AM192">
        <v>0</v>
      </c>
      <c r="AN192">
        <v>180</v>
      </c>
      <c r="AO192">
        <v>0</v>
      </c>
      <c r="AP192">
        <v>8</v>
      </c>
      <c r="AQ192">
        <v>0</v>
      </c>
      <c r="AR192">
        <v>0</v>
      </c>
      <c r="AS192" t="s">
        <v>59</v>
      </c>
      <c r="AT192">
        <v>1</v>
      </c>
      <c r="AU192" t="s">
        <v>63</v>
      </c>
      <c r="AV192" t="s">
        <v>61</v>
      </c>
      <c r="AW192">
        <v>1</v>
      </c>
      <c r="AX192">
        <v>3</v>
      </c>
      <c r="AY192">
        <v>0</v>
      </c>
      <c r="AZ192">
        <v>0</v>
      </c>
      <c r="BA192">
        <v>100</v>
      </c>
      <c r="BB192">
        <v>100</v>
      </c>
      <c r="BC192">
        <v>100</v>
      </c>
      <c r="BD192">
        <v>100</v>
      </c>
      <c r="BE192">
        <v>1</v>
      </c>
      <c r="BF192">
        <v>15000</v>
      </c>
      <c r="BG192">
        <v>1000</v>
      </c>
      <c r="BH192" s="8">
        <f>Granger_Inventory[[#This Row],[land_extract]]*Lookups!$B$3</f>
        <v>42581.265196416658</v>
      </c>
      <c r="BI192" s="8">
        <f>IF(Granger_Inventory[[#This Row],[bldg_style]]="",0,Lookups!$B$2)</f>
        <v>29703.559000000001</v>
      </c>
      <c r="BJ192" s="8">
        <f>_xlfn.IFNA(VLOOKUP(Granger_Inventory[[#This Row],[quality]],Lookups!$H$2:$J$14,3,FALSE),0)</f>
        <v>56414</v>
      </c>
      <c r="BK192" s="8">
        <f>_xlfn.IFNA(VLOOKUP(Granger_Inventory[[#This Row],[condition]],Lookups!$H$17:$J$24,3,FALSE),0)</f>
        <v>101774</v>
      </c>
      <c r="BL192" s="8">
        <f>Granger_Inventory[[#This Row],[Age]]*Lookups!$B$16</f>
        <v>-207.33109999999999</v>
      </c>
      <c r="BM192" s="8">
        <f>Granger_Inventory[[#This Row],[living_area]]*Lookups!$B$17</f>
        <v>97949.355503999992</v>
      </c>
      <c r="BN192" s="8">
        <f>(Granger_Inventory[[#This Row],[att_gar]]+Granger_Inventory[[#This Row],[blt_gar]])*Lookups!$B$18</f>
        <v>23448.631624000001</v>
      </c>
      <c r="BO192" s="8">
        <f>Granger_Inventory[[#This Row],[Patio]]*Lookups!$B$19</f>
        <v>0</v>
      </c>
      <c r="BP192" s="8">
        <f>SUM(Granger_Inventory[[#This Row],[Intercept]:[Patio_Value]])*Granger_Inventory[[#This Row],[res_pct]]</f>
        <v>309082.21502799995</v>
      </c>
      <c r="BQ192" s="8">
        <f>Granger_Inventory[[#This Row],[land_value]]</f>
        <v>42581.265196416658</v>
      </c>
      <c r="BR192" s="4">
        <f>_xlfn.IFNA(VLOOKUP(Granger_Inventory[[#This Row],[quality]],Lookups!$A$25:$C$35,3,FALSE),1)</f>
        <v>0.98791809110152173</v>
      </c>
      <c r="BS192" s="4">
        <f>_xlfn.IFNA(VLOOKUP(Granger_Inventory[[#This Row],[condition]],Lookups!$A$38:$C$45,3,FALSE),1)</f>
        <v>0.99135053432734199</v>
      </c>
      <c r="BT192" s="4">
        <f>IF(Granger_Inventory[[#This Row],[decade]]="",1,_xlfn.IFNA(VLOOKUP(Granger_Inventory[[#This Row],[decade]],Lookups!$G$28:$I$42,3,FALSE),1))</f>
        <v>0.95532362136731586</v>
      </c>
      <c r="BU192" s="4">
        <f>_xlfn.IFNA(VLOOKUP(Granger_Inventory[[#This Row],[living_area_range]],Lookups!$A$48:$C$57,3,FALSE),1)</f>
        <v>0.97960506760539345</v>
      </c>
      <c r="BV192" s="4">
        <f>AVERAGE(Granger_Inventory[[#This Row],[qual_adj]:[living_range_adj]])</f>
        <v>0.97854932860039323</v>
      </c>
      <c r="BW192" s="8">
        <f>(Granger_Inventory[[#This Row],[sum_land]]-IF(Granger_Inventory[[#This Row],[no_utilities]]=1,12000,0))/IF(Granger_Inventory[[#This Row],[unbuildable]]=1,2,1)</f>
        <v>42581.265196416658</v>
      </c>
      <c r="BX192" s="8">
        <f>Granger_Inventory[[#This Row],[pre_res]]*Granger_Inventory[[#This Row],[overall_adj]]</f>
        <v>302452.19399797171</v>
      </c>
      <c r="BY192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192">
        <f>ROUND(Granger_Inventory[[#This Row],[detatched_value]]*Lookups!$I$45,-2)</f>
        <v>0</v>
      </c>
      <c r="CA192">
        <f>IF(ROUND(Granger_Inventory[[#This Row],[adj_res]]*Lookups!$I$45,-2)&lt;Granger_Inventory[[#This Row],[min_res]],Granger_Inventory[[#This Row],[min_res]],ROUND(Granger_Inventory[[#This Row],[adj_res]]*Lookups!$I$45,-2))</f>
        <v>287300</v>
      </c>
      <c r="CB192">
        <f>Granger_Inventory[[#This Row],[final_det]]+Granger_Inventory[[#This Row],[final_res]]</f>
        <v>287300</v>
      </c>
      <c r="CC192">
        <f>Granger_Inventory[[#This Row],[final_land]]+Granger_Inventory[[#This Row],[final_imp]]+Granger_Inventory[[#This Row],[crop_value]]</f>
        <v>327800</v>
      </c>
      <c r="CE192" t="str">
        <f t="shared" si="2"/>
        <v>update valuation set market_land =40500, market_bldg=287300, market_total =327800, market_mdno =402, market_date ='9/10/2023' where link_id = (select link_id from parcel where parcel_year = '2024' and parcel_id = '21101641589');</v>
      </c>
    </row>
    <row r="193" spans="1:83" x14ac:dyDescent="0.25">
      <c r="A193">
        <v>21101641591</v>
      </c>
      <c r="B193">
        <v>0.78</v>
      </c>
      <c r="C193" t="s">
        <v>137</v>
      </c>
      <c r="D193" t="s">
        <v>137</v>
      </c>
      <c r="E193" t="s">
        <v>54</v>
      </c>
      <c r="F193" t="s">
        <v>54</v>
      </c>
      <c r="G193">
        <v>3</v>
      </c>
      <c r="H193" t="s">
        <v>55</v>
      </c>
      <c r="I193">
        <v>304800</v>
      </c>
      <c r="J193">
        <v>36100</v>
      </c>
      <c r="K193">
        <v>0.78</v>
      </c>
      <c r="L193">
        <f>IF(Granger_Inventory[[#This Row],[parcel_acres]]-Granger_Inventory[[#This Row],[non_valued_acres]] =0,0,LN(Granger_Inventory[[#This Row],[parcel_acres]]-Granger_Inventory[[#This Row],[non_valued_acres]]))</f>
        <v>-0.24846135929849961</v>
      </c>
      <c r="M193">
        <v>0</v>
      </c>
      <c r="N193">
        <v>0</v>
      </c>
      <c r="O193">
        <v>0</v>
      </c>
      <c r="P193">
        <v>47108.068500000001</v>
      </c>
      <c r="Q193">
        <v>122298</v>
      </c>
      <c r="R193">
        <f>(Granger_Inventory[[#This Row],[ln_acres]]*Granger_Inventory[[#This Row],[coeff]])+Granger_Inventory[[#This Row],[const]]</f>
        <v>110593.46526656317</v>
      </c>
      <c r="S193" t="s">
        <v>56</v>
      </c>
      <c r="T193">
        <v>1</v>
      </c>
      <c r="U193" t="s">
        <v>64</v>
      </c>
      <c r="V193" t="s">
        <v>58</v>
      </c>
      <c r="W193">
        <v>0</v>
      </c>
      <c r="X193">
        <v>0</v>
      </c>
      <c r="Y193">
        <v>9</v>
      </c>
      <c r="Z193">
        <v>9</v>
      </c>
      <c r="AA193">
        <v>10</v>
      </c>
      <c r="AB193">
        <v>2000</v>
      </c>
      <c r="AC193">
        <v>1740</v>
      </c>
      <c r="AD193">
        <v>1740</v>
      </c>
      <c r="AE193">
        <v>0</v>
      </c>
      <c r="AF193">
        <v>0</v>
      </c>
      <c r="AG193">
        <v>0</v>
      </c>
      <c r="AH193">
        <v>0</v>
      </c>
      <c r="AI193">
        <v>528</v>
      </c>
      <c r="AJ193">
        <v>0</v>
      </c>
      <c r="AK193">
        <v>0</v>
      </c>
      <c r="AL193">
        <v>0</v>
      </c>
      <c r="AM193">
        <v>0</v>
      </c>
      <c r="AN193">
        <v>180</v>
      </c>
      <c r="AO193">
        <v>0</v>
      </c>
      <c r="AP193">
        <v>9</v>
      </c>
      <c r="AQ193">
        <v>0</v>
      </c>
      <c r="AR193">
        <v>0</v>
      </c>
      <c r="AS193" t="s">
        <v>59</v>
      </c>
      <c r="AT193">
        <v>1</v>
      </c>
      <c r="AU193" t="s">
        <v>60</v>
      </c>
      <c r="AV193" t="s">
        <v>65</v>
      </c>
      <c r="AW193">
        <v>1</v>
      </c>
      <c r="AX193">
        <v>4</v>
      </c>
      <c r="AY193">
        <v>0</v>
      </c>
      <c r="AZ193">
        <v>0</v>
      </c>
      <c r="BA193">
        <v>100</v>
      </c>
      <c r="BB193">
        <v>100</v>
      </c>
      <c r="BC193">
        <v>100</v>
      </c>
      <c r="BD193">
        <v>100</v>
      </c>
      <c r="BE193">
        <v>1</v>
      </c>
      <c r="BF193">
        <v>15000</v>
      </c>
      <c r="BG193">
        <v>1000</v>
      </c>
      <c r="BH193" s="8">
        <f>Granger_Inventory[[#This Row],[land_extract]]*Lookups!$B$3</f>
        <v>65883.933538021898</v>
      </c>
      <c r="BI193" s="8">
        <f>IF(Granger_Inventory[[#This Row],[bldg_style]]="",0,Lookups!$B$2)</f>
        <v>29703.559000000001</v>
      </c>
      <c r="BJ193" s="8">
        <f>_xlfn.IFNA(VLOOKUP(Granger_Inventory[[#This Row],[quality]],Lookups!$H$2:$J$14,3,FALSE),0)</f>
        <v>36568</v>
      </c>
      <c r="BK193" s="8">
        <f>_xlfn.IFNA(VLOOKUP(Granger_Inventory[[#This Row],[condition]],Lookups!$H$17:$J$24,3,FALSE),0)</f>
        <v>101774</v>
      </c>
      <c r="BL193" s="8">
        <f>Granger_Inventory[[#This Row],[Age]]*Lookups!$B$16</f>
        <v>-1865.9798999999998</v>
      </c>
      <c r="BM193" s="8">
        <f>Granger_Inventory[[#This Row],[living_area]]*Lookups!$B$17</f>
        <v>117054.86166</v>
      </c>
      <c r="BN193" s="8">
        <f>(Granger_Inventory[[#This Row],[att_gar]]+Granger_Inventory[[#This Row],[blt_gar]])*Lookups!$B$18</f>
        <v>25580.325408000001</v>
      </c>
      <c r="BO193" s="8">
        <f>Granger_Inventory[[#This Row],[Patio]]*Lookups!$B$19</f>
        <v>0</v>
      </c>
      <c r="BP193" s="8">
        <f>SUM(Granger_Inventory[[#This Row],[Intercept]:[Patio_Value]])*Granger_Inventory[[#This Row],[res_pct]]</f>
        <v>308814.766168</v>
      </c>
      <c r="BQ193" s="8">
        <f>Granger_Inventory[[#This Row],[land_value]]</f>
        <v>65883.933538021898</v>
      </c>
      <c r="BR193" s="4">
        <f>_xlfn.IFNA(VLOOKUP(Granger_Inventory[[#This Row],[quality]],Lookups!$A$25:$C$35,3,FALSE),1)</f>
        <v>0.99049976351917957</v>
      </c>
      <c r="BS193" s="4">
        <f>_xlfn.IFNA(VLOOKUP(Granger_Inventory[[#This Row],[condition]],Lookups!$A$38:$C$45,3,FALSE),1)</f>
        <v>0.99135053432734199</v>
      </c>
      <c r="BT193" s="4">
        <f>IF(Granger_Inventory[[#This Row],[decade]]="",1,_xlfn.IFNA(VLOOKUP(Granger_Inventory[[#This Row],[decade]],Lookups!$G$28:$I$42,3,FALSE),1))</f>
        <v>0.95532362136731586</v>
      </c>
      <c r="BU193" s="4">
        <f>_xlfn.IFNA(VLOOKUP(Granger_Inventory[[#This Row],[living_area_range]],Lookups!$A$48:$C$57,3,FALSE),1)</f>
        <v>0.97860968051050168</v>
      </c>
      <c r="BV193" s="4">
        <f>AVERAGE(Granger_Inventory[[#This Row],[qual_adj]:[living_range_adj]])</f>
        <v>0.97894589993108483</v>
      </c>
      <c r="BW193" s="8">
        <f>(Granger_Inventory[[#This Row],[sum_land]]-IF(Granger_Inventory[[#This Row],[no_utilities]]=1,12000,0))/IF(Granger_Inventory[[#This Row],[unbuildable]]=1,2,1)</f>
        <v>65883.933538021898</v>
      </c>
      <c r="BX193" s="8">
        <f>Granger_Inventory[[#This Row],[pre_res]]*Granger_Inventory[[#This Row],[overall_adj]]</f>
        <v>302312.94917834026</v>
      </c>
      <c r="BY193">
        <f>IF(ROUND(Granger_Inventory[[#This Row],[adj_land]]*Lookups!$I$45,-2)&lt;Granger_Inventory[[#This Row],[min_land]],Granger_Inventory[[#This Row],[min_land]],ROUND(Granger_Inventory[[#This Row],[adj_land]]*Lookups!$I$45,-2))</f>
        <v>62600</v>
      </c>
      <c r="BZ193">
        <f>ROUND(Granger_Inventory[[#This Row],[detatched_value]]*Lookups!$I$45,-2)</f>
        <v>0</v>
      </c>
      <c r="CA193">
        <f>IF(ROUND(Granger_Inventory[[#This Row],[adj_res]]*Lookups!$I$45,-2)&lt;Granger_Inventory[[#This Row],[min_res]],Granger_Inventory[[#This Row],[min_res]],ROUND(Granger_Inventory[[#This Row],[adj_res]]*Lookups!$I$45,-2))</f>
        <v>287200</v>
      </c>
      <c r="CB193">
        <f>Granger_Inventory[[#This Row],[final_det]]+Granger_Inventory[[#This Row],[final_res]]</f>
        <v>287200</v>
      </c>
      <c r="CC193">
        <f>Granger_Inventory[[#This Row],[final_land]]+Granger_Inventory[[#This Row],[final_imp]]+Granger_Inventory[[#This Row],[crop_value]]</f>
        <v>349800</v>
      </c>
      <c r="CE193" t="str">
        <f t="shared" si="2"/>
        <v>update valuation set market_land =62600, market_bldg=287200, market_total =349800, market_mdno =402, market_date ='9/10/2023' where link_id = (select link_id from parcel where parcel_year = '2024' and parcel_id = '21101641591');</v>
      </c>
    </row>
    <row r="194" spans="1:83" x14ac:dyDescent="0.25">
      <c r="A194">
        <v>21101641592</v>
      </c>
      <c r="B194">
        <v>2.17</v>
      </c>
      <c r="C194" t="s">
        <v>137</v>
      </c>
      <c r="D194" t="s">
        <v>137</v>
      </c>
      <c r="E194" t="s">
        <v>54</v>
      </c>
      <c r="F194" t="s">
        <v>54</v>
      </c>
      <c r="G194">
        <v>3</v>
      </c>
      <c r="H194" t="s">
        <v>55</v>
      </c>
      <c r="I194">
        <v>594700</v>
      </c>
      <c r="J194">
        <v>42200</v>
      </c>
      <c r="K194">
        <v>2.17</v>
      </c>
      <c r="L194">
        <f>IF(Granger_Inventory[[#This Row],[parcel_acres]]-Granger_Inventory[[#This Row],[non_valued_acres]] =0,0,LN(Granger_Inventory[[#This Row],[parcel_acres]]-Granger_Inventory[[#This Row],[non_valued_acres]]))</f>
        <v>0.77472716755236815</v>
      </c>
      <c r="M194">
        <v>0</v>
      </c>
      <c r="N194">
        <v>0</v>
      </c>
      <c r="O194">
        <v>0</v>
      </c>
      <c r="P194">
        <v>47108.068500000001</v>
      </c>
      <c r="Q194">
        <v>122298</v>
      </c>
      <c r="R194">
        <f>(Granger_Inventory[[#This Row],[ln_acres]]*Granger_Inventory[[#This Row],[coeff]])+Granger_Inventory[[#This Row],[const]]</f>
        <v>158793.90047786792</v>
      </c>
      <c r="S194" t="s">
        <v>59</v>
      </c>
      <c r="T194">
        <v>1</v>
      </c>
      <c r="U194" t="s">
        <v>61</v>
      </c>
      <c r="V194" t="s">
        <v>58</v>
      </c>
      <c r="W194">
        <v>0</v>
      </c>
      <c r="X194">
        <v>0</v>
      </c>
      <c r="Y194">
        <v>8</v>
      </c>
      <c r="Z194">
        <v>8</v>
      </c>
      <c r="AA194">
        <v>10</v>
      </c>
      <c r="AB194">
        <v>3500</v>
      </c>
      <c r="AC194">
        <v>3296</v>
      </c>
      <c r="AD194">
        <v>3296</v>
      </c>
      <c r="AE194">
        <v>0</v>
      </c>
      <c r="AF194">
        <v>0</v>
      </c>
      <c r="AG194">
        <v>0</v>
      </c>
      <c r="AH194">
        <v>0</v>
      </c>
      <c r="AI194">
        <v>806</v>
      </c>
      <c r="AJ194">
        <v>0</v>
      </c>
      <c r="AK194">
        <v>0</v>
      </c>
      <c r="AL194">
        <v>350</v>
      </c>
      <c r="AM194">
        <v>0</v>
      </c>
      <c r="AN194">
        <v>992</v>
      </c>
      <c r="AO194">
        <v>294</v>
      </c>
      <c r="AP194">
        <v>12</v>
      </c>
      <c r="AQ194">
        <v>0</v>
      </c>
      <c r="AR194">
        <v>0</v>
      </c>
      <c r="AS194" t="s">
        <v>59</v>
      </c>
      <c r="AT194">
        <v>1</v>
      </c>
      <c r="AU194" t="s">
        <v>63</v>
      </c>
      <c r="AV194" t="s">
        <v>65</v>
      </c>
      <c r="AW194">
        <v>1</v>
      </c>
      <c r="AX194">
        <v>5</v>
      </c>
      <c r="AY194">
        <v>0</v>
      </c>
      <c r="AZ194">
        <v>62600</v>
      </c>
      <c r="BA194">
        <v>100</v>
      </c>
      <c r="BB194">
        <v>100</v>
      </c>
      <c r="BC194">
        <v>100</v>
      </c>
      <c r="BD194">
        <v>100</v>
      </c>
      <c r="BE194">
        <v>1</v>
      </c>
      <c r="BF194">
        <v>15000</v>
      </c>
      <c r="BG194">
        <v>1000</v>
      </c>
      <c r="BH194" s="8">
        <f>Granger_Inventory[[#This Row],[land_extract]]*Lookups!$B$3</f>
        <v>94598.417366800641</v>
      </c>
      <c r="BI194" s="8">
        <f>IF(Granger_Inventory[[#This Row],[bldg_style]]="",0,Lookups!$B$2)</f>
        <v>29703.559000000001</v>
      </c>
      <c r="BJ194" s="8">
        <f>_xlfn.IFNA(VLOOKUP(Granger_Inventory[[#This Row],[quality]],Lookups!$H$2:$J$14,3,FALSE),0)</f>
        <v>71767</v>
      </c>
      <c r="BK194" s="8">
        <f>_xlfn.IFNA(VLOOKUP(Granger_Inventory[[#This Row],[condition]],Lookups!$H$17:$J$24,3,FALSE),0)</f>
        <v>101774</v>
      </c>
      <c r="BL194" s="8">
        <f>Granger_Inventory[[#This Row],[Age]]*Lookups!$B$16</f>
        <v>-1658.6487999999999</v>
      </c>
      <c r="BM194" s="8">
        <f>Granger_Inventory[[#This Row],[living_area]]*Lookups!$B$17</f>
        <v>221731.50806399999</v>
      </c>
      <c r="BN194" s="8">
        <f>(Granger_Inventory[[#This Row],[att_gar]]+Granger_Inventory[[#This Row],[blt_gar]])*Lookups!$B$18</f>
        <v>39048.754315999999</v>
      </c>
      <c r="BO194" s="8">
        <f>Granger_Inventory[[#This Row],[Patio]]*Lookups!$B$19</f>
        <v>0</v>
      </c>
      <c r="BP194" s="8">
        <f>SUM(Granger_Inventory[[#This Row],[Intercept]:[Patio_Value]])*Granger_Inventory[[#This Row],[res_pct]]</f>
        <v>462366.17257999995</v>
      </c>
      <c r="BQ194" s="8">
        <f>Granger_Inventory[[#This Row],[land_value]]</f>
        <v>94598.417366800641</v>
      </c>
      <c r="BR194" s="4">
        <f>_xlfn.IFNA(VLOOKUP(Granger_Inventory[[#This Row],[quality]],Lookups!$A$25:$C$35,3,FALSE),1)</f>
        <v>0.992092799099482</v>
      </c>
      <c r="BS194" s="4">
        <f>_xlfn.IFNA(VLOOKUP(Granger_Inventory[[#This Row],[condition]],Lookups!$A$38:$C$45,3,FALSE),1)</f>
        <v>0.99135053432734199</v>
      </c>
      <c r="BT194" s="4">
        <f>IF(Granger_Inventory[[#This Row],[decade]]="",1,_xlfn.IFNA(VLOOKUP(Granger_Inventory[[#This Row],[decade]],Lookups!$G$28:$I$42,3,FALSE),1))</f>
        <v>0.95532362136731586</v>
      </c>
      <c r="BU194" s="4">
        <f>_xlfn.IFNA(VLOOKUP(Granger_Inventory[[#This Row],[living_area_range]],Lookups!$A$48:$C$57,3,FALSE),1)</f>
        <v>0.99995754169072248</v>
      </c>
      <c r="BV194" s="4">
        <f>AVERAGE(Granger_Inventory[[#This Row],[qual_adj]:[living_range_adj]])</f>
        <v>0.98468112412121567</v>
      </c>
      <c r="BW194" s="8">
        <f>(Granger_Inventory[[#This Row],[sum_land]]-IF(Granger_Inventory[[#This Row],[no_utilities]]=1,12000,0))/IF(Granger_Inventory[[#This Row],[unbuildable]]=1,2,1)</f>
        <v>94598.417366800641</v>
      </c>
      <c r="BX194" s="8">
        <f>Granger_Inventory[[#This Row],[pre_res]]*Granger_Inventory[[#This Row],[overall_adj]]</f>
        <v>455283.24257169839</v>
      </c>
      <c r="BY194">
        <f>IF(ROUND(Granger_Inventory[[#This Row],[adj_land]]*Lookups!$I$45,-2)&lt;Granger_Inventory[[#This Row],[min_land]],Granger_Inventory[[#This Row],[min_land]],ROUND(Granger_Inventory[[#This Row],[adj_land]]*Lookups!$I$45,-2))</f>
        <v>89900</v>
      </c>
      <c r="BZ194">
        <f>ROUND(Granger_Inventory[[#This Row],[detatched_value]]*Lookups!$I$45,-2)</f>
        <v>59500</v>
      </c>
      <c r="CA194">
        <f>IF(ROUND(Granger_Inventory[[#This Row],[adj_res]]*Lookups!$I$45,-2)&lt;Granger_Inventory[[#This Row],[min_res]],Granger_Inventory[[#This Row],[min_res]],ROUND(Granger_Inventory[[#This Row],[adj_res]]*Lookups!$I$45,-2))</f>
        <v>432500</v>
      </c>
      <c r="CB194">
        <f>Granger_Inventory[[#This Row],[final_det]]+Granger_Inventory[[#This Row],[final_res]]</f>
        <v>492000</v>
      </c>
      <c r="CC194">
        <f>Granger_Inventory[[#This Row],[final_land]]+Granger_Inventory[[#This Row],[final_imp]]+Granger_Inventory[[#This Row],[crop_value]]</f>
        <v>581900</v>
      </c>
      <c r="CE194" t="str">
        <f t="shared" ref="CE194:CE257" si="3">"update valuation set market_land ="&amp;BY194&amp;", market_bldg="&amp;CB194&amp;", market_total ="&amp;CC194&amp;", market_mdno ="&amp;$CE$1&amp;", market_date ='"&amp;TEXT($CF$1,"m/d/yyyy")&amp;"' where link_id = (select link_id from parcel where parcel_year = '2024' and parcel_id = '"&amp;A194&amp;"');"</f>
        <v>update valuation set market_land =89900, market_bldg=492000, market_total =581900, market_mdno =402, market_date ='9/10/2023' where link_id = (select link_id from parcel where parcel_year = '2024' and parcel_id = '21101641592');</v>
      </c>
    </row>
    <row r="195" spans="1:83" x14ac:dyDescent="0.25">
      <c r="A195">
        <v>21101641595</v>
      </c>
      <c r="B195">
        <v>0.55000000000000004</v>
      </c>
      <c r="C195" t="s">
        <v>137</v>
      </c>
      <c r="D195" t="s">
        <v>137</v>
      </c>
      <c r="E195" t="s">
        <v>54</v>
      </c>
      <c r="F195" t="s">
        <v>54</v>
      </c>
      <c r="G195">
        <v>3</v>
      </c>
      <c r="H195" t="s">
        <v>55</v>
      </c>
      <c r="I195">
        <v>0</v>
      </c>
      <c r="J195">
        <v>33300</v>
      </c>
      <c r="K195">
        <v>0.55000000000000004</v>
      </c>
      <c r="L195">
        <f>IF(Granger_Inventory[[#This Row],[parcel_acres]]-Granger_Inventory[[#This Row],[non_valued_acres]] =0,0,LN(Granger_Inventory[[#This Row],[parcel_acres]]-Granger_Inventory[[#This Row],[non_valued_acres]]))</f>
        <v>-0.59783700075562041</v>
      </c>
      <c r="M195">
        <v>0</v>
      </c>
      <c r="N195">
        <v>0</v>
      </c>
      <c r="O195">
        <v>0</v>
      </c>
      <c r="P195">
        <v>47108.068500000001</v>
      </c>
      <c r="Q195">
        <v>122298</v>
      </c>
      <c r="R195">
        <f>(Granger_Inventory[[#This Row],[ln_acres]]*Granger_Inventory[[#This Row],[coeff]])+Granger_Inventory[[#This Row],[const]]</f>
        <v>94135.053616569683</v>
      </c>
      <c r="S195" t="s">
        <v>56</v>
      </c>
      <c r="T195">
        <v>1</v>
      </c>
      <c r="U195" t="s">
        <v>61</v>
      </c>
      <c r="V195" t="s">
        <v>58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2000</v>
      </c>
      <c r="AC195">
        <v>1710</v>
      </c>
      <c r="AD195">
        <v>1710</v>
      </c>
      <c r="AE195">
        <v>0</v>
      </c>
      <c r="AF195">
        <v>0</v>
      </c>
      <c r="AG195">
        <v>0</v>
      </c>
      <c r="AH195">
        <v>0</v>
      </c>
      <c r="AI195">
        <v>650</v>
      </c>
      <c r="AJ195">
        <v>0</v>
      </c>
      <c r="AK195">
        <v>0</v>
      </c>
      <c r="AL195">
        <v>0</v>
      </c>
      <c r="AM195">
        <v>0</v>
      </c>
      <c r="AN195">
        <v>608</v>
      </c>
      <c r="AO195">
        <v>0</v>
      </c>
      <c r="AP195">
        <v>9</v>
      </c>
      <c r="AQ195">
        <v>0</v>
      </c>
      <c r="AR195">
        <v>0</v>
      </c>
      <c r="AS195" t="s">
        <v>59</v>
      </c>
      <c r="AT195">
        <v>1</v>
      </c>
      <c r="AU195" t="s">
        <v>63</v>
      </c>
      <c r="AV195" t="s">
        <v>65</v>
      </c>
      <c r="AW195">
        <v>1</v>
      </c>
      <c r="AX195" t="s">
        <v>137</v>
      </c>
      <c r="AY195">
        <v>0</v>
      </c>
      <c r="AZ195">
        <v>0</v>
      </c>
      <c r="BA195">
        <v>100</v>
      </c>
      <c r="BB195">
        <v>100</v>
      </c>
      <c r="BC195">
        <v>100</v>
      </c>
      <c r="BD195">
        <v>100</v>
      </c>
      <c r="BE195">
        <v>1</v>
      </c>
      <c r="BF195">
        <v>15000</v>
      </c>
      <c r="BG195">
        <v>1000</v>
      </c>
      <c r="BH195" s="8">
        <f>Granger_Inventory[[#This Row],[land_extract]]*Lookups!$B$3</f>
        <v>56079.150799041949</v>
      </c>
      <c r="BI195" s="8">
        <f>IF(Granger_Inventory[[#This Row],[bldg_style]]="",0,Lookups!$B$2)</f>
        <v>29703.559000000001</v>
      </c>
      <c r="BJ195" s="8">
        <f>_xlfn.IFNA(VLOOKUP(Granger_Inventory[[#This Row],[quality]],Lookups!$H$2:$J$14,3,FALSE),0)</f>
        <v>71767</v>
      </c>
      <c r="BK195" s="8">
        <f>_xlfn.IFNA(VLOOKUP(Granger_Inventory[[#This Row],[condition]],Lookups!$H$17:$J$24,3,FALSE),0)</f>
        <v>101774</v>
      </c>
      <c r="BL195" s="8">
        <f>Granger_Inventory[[#This Row],[Age]]*Lookups!$B$16</f>
        <v>0</v>
      </c>
      <c r="BM195" s="8">
        <f>Granger_Inventory[[#This Row],[living_area]]*Lookups!$B$17</f>
        <v>115036.67439</v>
      </c>
      <c r="BN195" s="8">
        <f>(Granger_Inventory[[#This Row],[att_gar]]+Granger_Inventory[[#This Row],[blt_gar]])*Lookups!$B$18</f>
        <v>31490.930899999999</v>
      </c>
      <c r="BO195" s="8">
        <f>Granger_Inventory[[#This Row],[Patio]]*Lookups!$B$19</f>
        <v>0</v>
      </c>
      <c r="BP195" s="8">
        <f>SUM(Granger_Inventory[[#This Row],[Intercept]:[Patio_Value]])*Granger_Inventory[[#This Row],[res_pct]]</f>
        <v>349772.16428999999</v>
      </c>
      <c r="BQ195" s="8">
        <f>Granger_Inventory[[#This Row],[land_value]]</f>
        <v>56079.150799041949</v>
      </c>
      <c r="BR195" s="4">
        <f>_xlfn.IFNA(VLOOKUP(Granger_Inventory[[#This Row],[quality]],Lookups!$A$25:$C$35,3,FALSE),1)</f>
        <v>0.992092799099482</v>
      </c>
      <c r="BS195" s="4">
        <f>_xlfn.IFNA(VLOOKUP(Granger_Inventory[[#This Row],[condition]],Lookups!$A$38:$C$45,3,FALSE),1)</f>
        <v>0.99135053432734199</v>
      </c>
      <c r="BT195" s="4">
        <f>IF(Granger_Inventory[[#This Row],[decade]]="",1,_xlfn.IFNA(VLOOKUP(Granger_Inventory[[#This Row],[decade]],Lookups!$G$28:$I$42,3,FALSE),1))</f>
        <v>0.99951026660104636</v>
      </c>
      <c r="BU195" s="4">
        <f>_xlfn.IFNA(VLOOKUP(Granger_Inventory[[#This Row],[living_area_range]],Lookups!$A$48:$C$57,3,FALSE),1)</f>
        <v>0.97860968051050168</v>
      </c>
      <c r="BV195" s="4">
        <f>AVERAGE(Granger_Inventory[[#This Row],[qual_adj]:[living_range_adj]])</f>
        <v>0.99039082013459301</v>
      </c>
      <c r="BW195" s="8">
        <f>(Granger_Inventory[[#This Row],[sum_land]]-IF(Granger_Inventory[[#This Row],[no_utilities]]=1,12000,0))/IF(Granger_Inventory[[#This Row],[unbuildable]]=1,2,1)</f>
        <v>56079.150799041949</v>
      </c>
      <c r="BX195" s="8">
        <f>Granger_Inventory[[#This Row],[pre_res]]*Granger_Inventory[[#This Row],[overall_adj]]</f>
        <v>346411.14065142471</v>
      </c>
      <c r="BY195">
        <f>IF(ROUND(Granger_Inventory[[#This Row],[adj_land]]*Lookups!$I$45,-2)&lt;Granger_Inventory[[#This Row],[min_land]],Granger_Inventory[[#This Row],[min_land]],ROUND(Granger_Inventory[[#This Row],[adj_land]]*Lookups!$I$45,-2))</f>
        <v>53300</v>
      </c>
      <c r="BZ195">
        <f>ROUND(Granger_Inventory[[#This Row],[detatched_value]]*Lookups!$I$45,-2)</f>
        <v>0</v>
      </c>
      <c r="CA195">
        <f>IF(ROUND(Granger_Inventory[[#This Row],[adj_res]]*Lookups!$I$45,-2)&lt;Granger_Inventory[[#This Row],[min_res]],Granger_Inventory[[#This Row],[min_res]],ROUND(Granger_Inventory[[#This Row],[adj_res]]*Lookups!$I$45,-2))</f>
        <v>329100</v>
      </c>
      <c r="CB195">
        <f>Granger_Inventory[[#This Row],[final_det]]+Granger_Inventory[[#This Row],[final_res]]</f>
        <v>329100</v>
      </c>
      <c r="CC195">
        <f>Granger_Inventory[[#This Row],[final_land]]+Granger_Inventory[[#This Row],[final_imp]]+Granger_Inventory[[#This Row],[crop_value]]</f>
        <v>382400</v>
      </c>
      <c r="CE195" t="str">
        <f t="shared" si="3"/>
        <v>update valuation set market_land =53300, market_bldg=329100, market_total =382400, market_mdno =402, market_date ='9/10/2023' where link_id = (select link_id from parcel where parcel_year = '2024' and parcel_id = '21101641595');</v>
      </c>
    </row>
    <row r="196" spans="1:83" x14ac:dyDescent="0.25">
      <c r="A196">
        <v>21101641598</v>
      </c>
      <c r="B196">
        <v>1.01</v>
      </c>
      <c r="C196" t="s">
        <v>137</v>
      </c>
      <c r="D196" t="s">
        <v>137</v>
      </c>
      <c r="E196" t="s">
        <v>54</v>
      </c>
      <c r="F196" t="s">
        <v>54</v>
      </c>
      <c r="G196">
        <v>3</v>
      </c>
      <c r="H196" t="s">
        <v>55</v>
      </c>
      <c r="I196" t="s">
        <v>137</v>
      </c>
      <c r="J196" t="s">
        <v>137</v>
      </c>
      <c r="K196">
        <v>1.01</v>
      </c>
      <c r="L196">
        <f>IF(Granger_Inventory[[#This Row],[parcel_acres]]-Granger_Inventory[[#This Row],[non_valued_acres]] =0,0,LN(Granger_Inventory[[#This Row],[parcel_acres]]-Granger_Inventory[[#This Row],[non_valued_acres]]))</f>
        <v>9.950330853168092E-3</v>
      </c>
      <c r="M196">
        <v>0</v>
      </c>
      <c r="N196">
        <v>0</v>
      </c>
      <c r="O196">
        <v>0</v>
      </c>
      <c r="P196">
        <v>47108.068500000001</v>
      </c>
      <c r="Q196">
        <v>122298</v>
      </c>
      <c r="R196">
        <f>(Granger_Inventory[[#This Row],[ln_acres]]*Granger_Inventory[[#This Row],[coeff]])+Granger_Inventory[[#This Row],[const]]</f>
        <v>122766.7408674287</v>
      </c>
      <c r="S196" t="s">
        <v>59</v>
      </c>
      <c r="T196">
        <v>1</v>
      </c>
      <c r="U196" t="s">
        <v>61</v>
      </c>
      <c r="V196" t="s">
        <v>58</v>
      </c>
      <c r="W196">
        <v>0</v>
      </c>
      <c r="X196">
        <v>0</v>
      </c>
      <c r="Y196">
        <v>7</v>
      </c>
      <c r="Z196">
        <v>7</v>
      </c>
      <c r="AA196">
        <v>10</v>
      </c>
      <c r="AB196">
        <v>3500</v>
      </c>
      <c r="AC196">
        <v>3238</v>
      </c>
      <c r="AD196">
        <v>3238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624</v>
      </c>
      <c r="AL196">
        <v>0</v>
      </c>
      <c r="AM196">
        <v>0</v>
      </c>
      <c r="AN196">
        <v>448</v>
      </c>
      <c r="AO196">
        <v>0</v>
      </c>
      <c r="AP196">
        <v>15</v>
      </c>
      <c r="AQ196">
        <v>0</v>
      </c>
      <c r="AR196">
        <v>0</v>
      </c>
      <c r="AS196" t="s">
        <v>59</v>
      </c>
      <c r="AT196">
        <v>1</v>
      </c>
      <c r="AU196" t="s">
        <v>63</v>
      </c>
      <c r="AV196" t="s">
        <v>61</v>
      </c>
      <c r="AW196">
        <v>1</v>
      </c>
      <c r="AX196">
        <v>4</v>
      </c>
      <c r="AY196">
        <v>0</v>
      </c>
      <c r="AZ196">
        <v>0</v>
      </c>
      <c r="BA196">
        <v>100</v>
      </c>
      <c r="BB196">
        <v>100</v>
      </c>
      <c r="BC196">
        <v>100</v>
      </c>
      <c r="BD196">
        <v>100</v>
      </c>
      <c r="BE196">
        <v>1</v>
      </c>
      <c r="BF196">
        <v>15000</v>
      </c>
      <c r="BG196">
        <v>1000</v>
      </c>
      <c r="BH196" s="8">
        <f>Granger_Inventory[[#This Row],[land_extract]]*Lookups!$B$3</f>
        <v>73135.928750345993</v>
      </c>
      <c r="BI196" s="8">
        <f>IF(Granger_Inventory[[#This Row],[bldg_style]]="",0,Lookups!$B$2)</f>
        <v>29703.559000000001</v>
      </c>
      <c r="BJ196" s="8">
        <f>_xlfn.IFNA(VLOOKUP(Granger_Inventory[[#This Row],[quality]],Lookups!$H$2:$J$14,3,FALSE),0)</f>
        <v>71767</v>
      </c>
      <c r="BK196" s="8">
        <f>_xlfn.IFNA(VLOOKUP(Granger_Inventory[[#This Row],[condition]],Lookups!$H$17:$J$24,3,FALSE),0)</f>
        <v>101774</v>
      </c>
      <c r="BL196" s="8">
        <f>Granger_Inventory[[#This Row],[Age]]*Lookups!$B$16</f>
        <v>-1451.3177000000001</v>
      </c>
      <c r="BM196" s="8">
        <f>Granger_Inventory[[#This Row],[living_area]]*Lookups!$B$17</f>
        <v>217829.67934199999</v>
      </c>
      <c r="BN196" s="8">
        <f>(Granger_Inventory[[#This Row],[att_gar]]+Granger_Inventory[[#This Row],[blt_gar]])*Lookups!$B$18</f>
        <v>0</v>
      </c>
      <c r="BO196" s="8">
        <f>Granger_Inventory[[#This Row],[Patio]]*Lookups!$B$19</f>
        <v>0</v>
      </c>
      <c r="BP196" s="8">
        <f>SUM(Granger_Inventory[[#This Row],[Intercept]:[Patio_Value]])*Granger_Inventory[[#This Row],[res_pct]]</f>
        <v>419622.92064199998</v>
      </c>
      <c r="BQ196" s="8">
        <f>Granger_Inventory[[#This Row],[land_value]]</f>
        <v>73135.928750345993</v>
      </c>
      <c r="BR196" s="4">
        <f>_xlfn.IFNA(VLOOKUP(Granger_Inventory[[#This Row],[quality]],Lookups!$A$25:$C$35,3,FALSE),1)</f>
        <v>0.992092799099482</v>
      </c>
      <c r="BS196" s="4">
        <f>_xlfn.IFNA(VLOOKUP(Granger_Inventory[[#This Row],[condition]],Lookups!$A$38:$C$45,3,FALSE),1)</f>
        <v>0.99135053432734199</v>
      </c>
      <c r="BT196" s="4">
        <f>IF(Granger_Inventory[[#This Row],[decade]]="",1,_xlfn.IFNA(VLOOKUP(Granger_Inventory[[#This Row],[decade]],Lookups!$G$28:$I$42,3,FALSE),1))</f>
        <v>0.95532362136731586</v>
      </c>
      <c r="BU196" s="4">
        <f>_xlfn.IFNA(VLOOKUP(Granger_Inventory[[#This Row],[living_area_range]],Lookups!$A$48:$C$57,3,FALSE),1)</f>
        <v>0.99995754169072248</v>
      </c>
      <c r="BV196" s="4">
        <f>AVERAGE(Granger_Inventory[[#This Row],[qual_adj]:[living_range_adj]])</f>
        <v>0.98468112412121567</v>
      </c>
      <c r="BW196" s="8">
        <f>(Granger_Inventory[[#This Row],[sum_land]]-IF(Granger_Inventory[[#This Row],[no_utilities]]=1,12000,0))/IF(Granger_Inventory[[#This Row],[unbuildable]]=1,2,1)</f>
        <v>73135.928750345993</v>
      </c>
      <c r="BX196" s="8">
        <f>Granger_Inventory[[#This Row],[pre_res]]*Granger_Inventory[[#This Row],[overall_adj]]</f>
        <v>413194.76920479222</v>
      </c>
      <c r="BY196">
        <f>IF(ROUND(Granger_Inventory[[#This Row],[adj_land]]*Lookups!$I$45,-2)&lt;Granger_Inventory[[#This Row],[min_land]],Granger_Inventory[[#This Row],[min_land]],ROUND(Granger_Inventory[[#This Row],[adj_land]]*Lookups!$I$45,-2))</f>
        <v>69500</v>
      </c>
      <c r="BZ196">
        <f>ROUND(Granger_Inventory[[#This Row],[detatched_value]]*Lookups!$I$45,-2)</f>
        <v>0</v>
      </c>
      <c r="CA196">
        <f>IF(ROUND(Granger_Inventory[[#This Row],[adj_res]]*Lookups!$I$45,-2)&lt;Granger_Inventory[[#This Row],[min_res]],Granger_Inventory[[#This Row],[min_res]],ROUND(Granger_Inventory[[#This Row],[adj_res]]*Lookups!$I$45,-2))</f>
        <v>392500</v>
      </c>
      <c r="CB196">
        <f>Granger_Inventory[[#This Row],[final_det]]+Granger_Inventory[[#This Row],[final_res]]</f>
        <v>392500</v>
      </c>
      <c r="CC196">
        <f>Granger_Inventory[[#This Row],[final_land]]+Granger_Inventory[[#This Row],[final_imp]]+Granger_Inventory[[#This Row],[crop_value]]</f>
        <v>462000</v>
      </c>
      <c r="CE196" t="str">
        <f t="shared" si="3"/>
        <v>update valuation set market_land =69500, market_bldg=392500, market_total =462000, market_mdno =402, market_date ='9/10/2023' where link_id = (select link_id from parcel where parcel_year = '2024' and parcel_id = '21101641598');</v>
      </c>
    </row>
    <row r="197" spans="1:83" x14ac:dyDescent="0.25">
      <c r="A197">
        <v>21101642401</v>
      </c>
      <c r="B197">
        <v>2.04</v>
      </c>
      <c r="C197">
        <v>88870</v>
      </c>
      <c r="D197" t="s">
        <v>137</v>
      </c>
      <c r="E197" t="s">
        <v>54</v>
      </c>
      <c r="F197" t="s">
        <v>54</v>
      </c>
      <c r="G197">
        <v>3</v>
      </c>
      <c r="H197" t="s">
        <v>55</v>
      </c>
      <c r="I197">
        <v>230400</v>
      </c>
      <c r="J197">
        <v>41800</v>
      </c>
      <c r="K197">
        <v>2.04</v>
      </c>
      <c r="L197">
        <f>IF(Granger_Inventory[[#This Row],[parcel_acres]]-Granger_Inventory[[#This Row],[non_valued_acres]] =0,0,LN(Granger_Inventory[[#This Row],[parcel_acres]]-Granger_Inventory[[#This Row],[non_valued_acres]]))</f>
        <v>0.71294980785612505</v>
      </c>
      <c r="M197">
        <v>0</v>
      </c>
      <c r="N197">
        <v>0</v>
      </c>
      <c r="O197">
        <v>0</v>
      </c>
      <c r="P197">
        <v>47108.068500000001</v>
      </c>
      <c r="Q197">
        <v>122298</v>
      </c>
      <c r="R197">
        <f>(Granger_Inventory[[#This Row],[ln_acres]]*Granger_Inventory[[#This Row],[coeff]])+Granger_Inventory[[#This Row],[const]]</f>
        <v>155883.68838554819</v>
      </c>
      <c r="S197" t="s">
        <v>62</v>
      </c>
      <c r="T197">
        <v>2</v>
      </c>
      <c r="U197" t="s">
        <v>64</v>
      </c>
      <c r="V197" t="s">
        <v>72</v>
      </c>
      <c r="W197">
        <v>0</v>
      </c>
      <c r="X197">
        <v>0</v>
      </c>
      <c r="Y197">
        <v>56</v>
      </c>
      <c r="Z197">
        <v>100</v>
      </c>
      <c r="AA197">
        <v>100</v>
      </c>
      <c r="AB197">
        <v>1500</v>
      </c>
      <c r="AC197">
        <v>1459</v>
      </c>
      <c r="AD197">
        <v>1114</v>
      </c>
      <c r="AE197">
        <v>345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398</v>
      </c>
      <c r="AN197">
        <v>0</v>
      </c>
      <c r="AO197">
        <v>398</v>
      </c>
      <c r="AP197">
        <v>8</v>
      </c>
      <c r="AQ197">
        <v>1</v>
      </c>
      <c r="AR197">
        <v>0</v>
      </c>
      <c r="AS197" t="s">
        <v>81</v>
      </c>
      <c r="AT197">
        <v>1</v>
      </c>
      <c r="AU197" t="s">
        <v>60</v>
      </c>
      <c r="AV197" t="s">
        <v>61</v>
      </c>
      <c r="AW197">
        <v>0</v>
      </c>
      <c r="AX197">
        <v>3</v>
      </c>
      <c r="AY197">
        <v>0</v>
      </c>
      <c r="AZ197">
        <v>24700</v>
      </c>
      <c r="BA197">
        <v>100</v>
      </c>
      <c r="BB197">
        <v>100</v>
      </c>
      <c r="BC197">
        <v>100</v>
      </c>
      <c r="BD197">
        <v>100</v>
      </c>
      <c r="BE197">
        <v>1</v>
      </c>
      <c r="BF197">
        <v>15000</v>
      </c>
      <c r="BG197">
        <v>1000</v>
      </c>
      <c r="BH197" s="8">
        <f>Granger_Inventory[[#This Row],[land_extract]]*Lookups!$B$3</f>
        <v>92864.714388873326</v>
      </c>
      <c r="BI197" s="8">
        <f>IF(Granger_Inventory[[#This Row],[bldg_style]]="",0,Lookups!$B$2)</f>
        <v>29703.559000000001</v>
      </c>
      <c r="BJ197" s="8">
        <f>_xlfn.IFNA(VLOOKUP(Granger_Inventory[[#This Row],[quality]],Lookups!$H$2:$J$14,3,FALSE),0)</f>
        <v>36568</v>
      </c>
      <c r="BK197" s="8">
        <f>_xlfn.IFNA(VLOOKUP(Granger_Inventory[[#This Row],[condition]],Lookups!$H$17:$J$24,3,FALSE),0)</f>
        <v>94106</v>
      </c>
      <c r="BL197" s="8">
        <f>Granger_Inventory[[#This Row],[Age]]*Lookups!$B$16</f>
        <v>-20733.11</v>
      </c>
      <c r="BM197" s="8">
        <f>Granger_Inventory[[#This Row],[living_area]]*Lookups!$B$17</f>
        <v>98151.174230999997</v>
      </c>
      <c r="BN197" s="8">
        <f>(Granger_Inventory[[#This Row],[att_gar]]+Granger_Inventory[[#This Row],[blt_gar]])*Lookups!$B$18</f>
        <v>0</v>
      </c>
      <c r="BO197" s="8">
        <f>Granger_Inventory[[#This Row],[Patio]]*Lookups!$B$19</f>
        <v>21617.408207999997</v>
      </c>
      <c r="BP197" s="8">
        <f>SUM(Granger_Inventory[[#This Row],[Intercept]:[Patio_Value]])*Granger_Inventory[[#This Row],[res_pct]]</f>
        <v>259413.03143900004</v>
      </c>
      <c r="BQ197" s="8">
        <f>Granger_Inventory[[#This Row],[land_value]]</f>
        <v>92864.714388873326</v>
      </c>
      <c r="BR197" s="4">
        <f>_xlfn.IFNA(VLOOKUP(Granger_Inventory[[#This Row],[quality]],Lookups!$A$25:$C$35,3,FALSE),1)</f>
        <v>0.99049976351917957</v>
      </c>
      <c r="BS197" s="4">
        <f>_xlfn.IFNA(VLOOKUP(Granger_Inventory[[#This Row],[condition]],Lookups!$A$38:$C$45,3,FALSE),1)</f>
        <v>0.98658583151544277</v>
      </c>
      <c r="BT197" s="4">
        <f>IF(Granger_Inventory[[#This Row],[decade]]="",1,_xlfn.IFNA(VLOOKUP(Granger_Inventory[[#This Row],[decade]],Lookups!$G$28:$I$42,3,FALSE),1))</f>
        <v>0.879441629375324</v>
      </c>
      <c r="BU197" s="4">
        <f>_xlfn.IFNA(VLOOKUP(Granger_Inventory[[#This Row],[living_area_range]],Lookups!$A$48:$C$57,3,FALSE),1)</f>
        <v>0.97960506760539345</v>
      </c>
      <c r="BV197" s="4">
        <f>AVERAGE(Granger_Inventory[[#This Row],[qual_adj]:[living_range_adj]])</f>
        <v>0.959033073003835</v>
      </c>
      <c r="BW197" s="8">
        <f>(Granger_Inventory[[#This Row],[sum_land]]-IF(Granger_Inventory[[#This Row],[no_utilities]]=1,12000,0))/IF(Granger_Inventory[[#This Row],[unbuildable]]=1,2,1)</f>
        <v>92864.714388873326</v>
      </c>
      <c r="BX197" s="8">
        <f>Granger_Inventory[[#This Row],[pre_res]]*Granger_Inventory[[#This Row],[overall_adj]]</f>
        <v>248785.67671818467</v>
      </c>
      <c r="BY197">
        <f>IF(ROUND(Granger_Inventory[[#This Row],[adj_land]]*Lookups!$I$45,-2)&lt;Granger_Inventory[[#This Row],[min_land]],Granger_Inventory[[#This Row],[min_land]],ROUND(Granger_Inventory[[#This Row],[adj_land]]*Lookups!$I$45,-2))</f>
        <v>88200</v>
      </c>
      <c r="BZ197">
        <f>ROUND(Granger_Inventory[[#This Row],[detatched_value]]*Lookups!$I$45,-2)</f>
        <v>23500</v>
      </c>
      <c r="CA197">
        <f>IF(ROUND(Granger_Inventory[[#This Row],[adj_res]]*Lookups!$I$45,-2)&lt;Granger_Inventory[[#This Row],[min_res]],Granger_Inventory[[#This Row],[min_res]],ROUND(Granger_Inventory[[#This Row],[adj_res]]*Lookups!$I$45,-2))</f>
        <v>236300</v>
      </c>
      <c r="CB197">
        <f>Granger_Inventory[[#This Row],[final_det]]+Granger_Inventory[[#This Row],[final_res]]</f>
        <v>259800</v>
      </c>
      <c r="CC197">
        <f>Granger_Inventory[[#This Row],[final_land]]+Granger_Inventory[[#This Row],[final_imp]]+Granger_Inventory[[#This Row],[crop_value]]</f>
        <v>348000</v>
      </c>
      <c r="CE197" t="str">
        <f t="shared" si="3"/>
        <v>update valuation set market_land =88200, market_bldg=259800, market_total =348000, market_mdno =402, market_date ='9/10/2023' where link_id = (select link_id from parcel where parcel_year = '2024' and parcel_id = '21101642401');</v>
      </c>
    </row>
    <row r="198" spans="1:83" x14ac:dyDescent="0.25">
      <c r="A198">
        <v>21101643400</v>
      </c>
      <c r="B198">
        <v>0.4</v>
      </c>
      <c r="C198">
        <v>17542</v>
      </c>
      <c r="D198" t="s">
        <v>137</v>
      </c>
      <c r="E198" t="s">
        <v>54</v>
      </c>
      <c r="F198" t="s">
        <v>54</v>
      </c>
      <c r="G198">
        <v>3</v>
      </c>
      <c r="H198" t="s">
        <v>55</v>
      </c>
      <c r="I198">
        <v>262400</v>
      </c>
      <c r="J198">
        <v>30100</v>
      </c>
      <c r="K198">
        <v>0.4</v>
      </c>
      <c r="L198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198">
        <v>0</v>
      </c>
      <c r="N198">
        <v>0</v>
      </c>
      <c r="O198">
        <v>0</v>
      </c>
      <c r="P198">
        <v>47108.068500000001</v>
      </c>
      <c r="Q198">
        <v>122298</v>
      </c>
      <c r="R198">
        <f>(Granger_Inventory[[#This Row],[ln_acres]]*Granger_Inventory[[#This Row],[coeff]])+Granger_Inventory[[#This Row],[const]]</f>
        <v>79133.313436957164</v>
      </c>
      <c r="S198" t="s">
        <v>62</v>
      </c>
      <c r="T198">
        <v>2</v>
      </c>
      <c r="U198" t="s">
        <v>64</v>
      </c>
      <c r="V198" t="s">
        <v>72</v>
      </c>
      <c r="W198">
        <v>0</v>
      </c>
      <c r="X198">
        <v>0</v>
      </c>
      <c r="Y198">
        <v>57</v>
      </c>
      <c r="Z198">
        <v>103</v>
      </c>
      <c r="AA198">
        <v>110</v>
      </c>
      <c r="AB198">
        <v>2000</v>
      </c>
      <c r="AC198">
        <v>1932</v>
      </c>
      <c r="AD198">
        <v>1420</v>
      </c>
      <c r="AE198">
        <v>512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24</v>
      </c>
      <c r="AO198">
        <v>0</v>
      </c>
      <c r="AP198">
        <v>12</v>
      </c>
      <c r="AQ198">
        <v>0</v>
      </c>
      <c r="AR198">
        <v>0</v>
      </c>
      <c r="AS198" t="s">
        <v>59</v>
      </c>
      <c r="AT198">
        <v>1</v>
      </c>
      <c r="AU198" t="s">
        <v>60</v>
      </c>
      <c r="AV198" t="s">
        <v>61</v>
      </c>
      <c r="AW198">
        <v>0</v>
      </c>
      <c r="AX198">
        <v>4</v>
      </c>
      <c r="AY198">
        <v>0</v>
      </c>
      <c r="AZ198">
        <v>11600</v>
      </c>
      <c r="BA198">
        <v>100</v>
      </c>
      <c r="BB198">
        <v>100</v>
      </c>
      <c r="BC198">
        <v>100</v>
      </c>
      <c r="BD198">
        <v>100</v>
      </c>
      <c r="BE198">
        <v>1</v>
      </c>
      <c r="BF198">
        <v>15000</v>
      </c>
      <c r="BG198">
        <v>1000</v>
      </c>
      <c r="BH198" s="8">
        <f>Granger_Inventory[[#This Row],[land_extract]]*Lookups!$B$3</f>
        <v>47142.152120449238</v>
      </c>
      <c r="BI198" s="8">
        <f>IF(Granger_Inventory[[#This Row],[bldg_style]]="",0,Lookups!$B$2)</f>
        <v>29703.559000000001</v>
      </c>
      <c r="BJ198" s="8">
        <f>_xlfn.IFNA(VLOOKUP(Granger_Inventory[[#This Row],[quality]],Lookups!$H$2:$J$14,3,FALSE),0)</f>
        <v>36568</v>
      </c>
      <c r="BK198" s="8">
        <f>_xlfn.IFNA(VLOOKUP(Granger_Inventory[[#This Row],[condition]],Lookups!$H$17:$J$24,3,FALSE),0)</f>
        <v>94106</v>
      </c>
      <c r="BL198" s="8">
        <f>Granger_Inventory[[#This Row],[Age]]*Lookups!$B$16</f>
        <v>-21355.103299999999</v>
      </c>
      <c r="BM198" s="8">
        <f>Granger_Inventory[[#This Row],[living_area]]*Lookups!$B$17</f>
        <v>129971.260188</v>
      </c>
      <c r="BN198" s="8">
        <f>(Granger_Inventory[[#This Row],[att_gar]]+Granger_Inventory[[#This Row],[blt_gar]])*Lookups!$B$18</f>
        <v>0</v>
      </c>
      <c r="BO198" s="8">
        <f>Granger_Inventory[[#This Row],[Patio]]*Lookups!$B$19</f>
        <v>0</v>
      </c>
      <c r="BP198" s="8">
        <f>SUM(Granger_Inventory[[#This Row],[Intercept]:[Patio_Value]])*Granger_Inventory[[#This Row],[res_pct]]</f>
        <v>268993.71588800004</v>
      </c>
      <c r="BQ198" s="8">
        <f>Granger_Inventory[[#This Row],[land_value]]</f>
        <v>47142.152120449238</v>
      </c>
      <c r="BR198" s="4">
        <f>_xlfn.IFNA(VLOOKUP(Granger_Inventory[[#This Row],[quality]],Lookups!$A$25:$C$35,3,FALSE),1)</f>
        <v>0.99049976351917957</v>
      </c>
      <c r="BS198" s="4">
        <f>_xlfn.IFNA(VLOOKUP(Granger_Inventory[[#This Row],[condition]],Lookups!$A$38:$C$45,3,FALSE),1)</f>
        <v>0.98658583151544277</v>
      </c>
      <c r="BT198" s="4">
        <f>IF(Granger_Inventory[[#This Row],[decade]]="",1,_xlfn.IFNA(VLOOKUP(Granger_Inventory[[#This Row],[decade]],Lookups!$G$28:$I$42,3,FALSE),1))</f>
        <v>0.879441629375324</v>
      </c>
      <c r="BU198" s="4">
        <f>_xlfn.IFNA(VLOOKUP(Granger_Inventory[[#This Row],[living_area_range]],Lookups!$A$48:$C$57,3,FALSE),1)</f>
        <v>0.97860968051050168</v>
      </c>
      <c r="BV198" s="4">
        <f>AVERAGE(Granger_Inventory[[#This Row],[qual_adj]:[living_range_adj]])</f>
        <v>0.95878422623011206</v>
      </c>
      <c r="BW198" s="8">
        <f>(Granger_Inventory[[#This Row],[sum_land]]-IF(Granger_Inventory[[#This Row],[no_utilities]]=1,12000,0))/IF(Granger_Inventory[[#This Row],[unbuildable]]=1,2,1)</f>
        <v>47142.152120449238</v>
      </c>
      <c r="BX198" s="8">
        <f>Granger_Inventory[[#This Row],[pre_res]]*Granger_Inventory[[#This Row],[overall_adj]]</f>
        <v>257906.93174843871</v>
      </c>
      <c r="BY198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198">
        <f>ROUND(Granger_Inventory[[#This Row],[detatched_value]]*Lookups!$I$45,-2)</f>
        <v>11000</v>
      </c>
      <c r="CA198">
        <f>IF(ROUND(Granger_Inventory[[#This Row],[adj_res]]*Lookups!$I$45,-2)&lt;Granger_Inventory[[#This Row],[min_res]],Granger_Inventory[[#This Row],[min_res]],ROUND(Granger_Inventory[[#This Row],[adj_res]]*Lookups!$I$45,-2))</f>
        <v>245000</v>
      </c>
      <c r="CB198">
        <f>Granger_Inventory[[#This Row],[final_det]]+Granger_Inventory[[#This Row],[final_res]]</f>
        <v>256000</v>
      </c>
      <c r="CC198">
        <f>Granger_Inventory[[#This Row],[final_land]]+Granger_Inventory[[#This Row],[final_imp]]+Granger_Inventory[[#This Row],[crop_value]]</f>
        <v>300800</v>
      </c>
      <c r="CE198" t="str">
        <f t="shared" si="3"/>
        <v>update valuation set market_land =44800, market_bldg=256000, market_total =300800, market_mdno =402, market_date ='9/10/2023' where link_id = (select link_id from parcel where parcel_year = '2024' and parcel_id = '21101643400');</v>
      </c>
    </row>
    <row r="199" spans="1:83" x14ac:dyDescent="0.25">
      <c r="A199">
        <v>21101643402</v>
      </c>
      <c r="B199">
        <v>0.13</v>
      </c>
      <c r="C199">
        <v>5676</v>
      </c>
      <c r="D199" t="s">
        <v>137</v>
      </c>
      <c r="E199" t="s">
        <v>54</v>
      </c>
      <c r="F199" t="s">
        <v>54</v>
      </c>
      <c r="G199">
        <v>3</v>
      </c>
      <c r="H199" t="s">
        <v>55</v>
      </c>
      <c r="I199">
        <v>136600</v>
      </c>
      <c r="J199">
        <v>23800</v>
      </c>
      <c r="K199">
        <v>0.13</v>
      </c>
      <c r="L199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199">
        <v>0</v>
      </c>
      <c r="N199">
        <v>0</v>
      </c>
      <c r="O199">
        <v>0</v>
      </c>
      <c r="P199">
        <v>47108.068500000001</v>
      </c>
      <c r="Q199">
        <v>122298</v>
      </c>
      <c r="R199">
        <f>(Granger_Inventory[[#This Row],[ln_acres]]*Granger_Inventory[[#This Row],[coeff]])+Granger_Inventory[[#This Row],[const]]</f>
        <v>26187.137454644311</v>
      </c>
      <c r="S199" t="s">
        <v>69</v>
      </c>
      <c r="T199">
        <v>1</v>
      </c>
      <c r="U199" t="s">
        <v>78</v>
      </c>
      <c r="V199" t="s">
        <v>79</v>
      </c>
      <c r="W199">
        <v>0</v>
      </c>
      <c r="X199">
        <v>0</v>
      </c>
      <c r="Y199">
        <v>53</v>
      </c>
      <c r="Z199">
        <v>93</v>
      </c>
      <c r="AA199">
        <v>100</v>
      </c>
      <c r="AB199">
        <v>2500</v>
      </c>
      <c r="AC199">
        <v>2048</v>
      </c>
      <c r="AD199">
        <v>2048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88</v>
      </c>
      <c r="AP199">
        <v>8</v>
      </c>
      <c r="AQ199">
        <v>0</v>
      </c>
      <c r="AR199">
        <v>0</v>
      </c>
      <c r="AS199" t="s">
        <v>59</v>
      </c>
      <c r="AT199">
        <v>1</v>
      </c>
      <c r="AU199" t="s">
        <v>60</v>
      </c>
      <c r="AV199" t="s">
        <v>65</v>
      </c>
      <c r="AW199">
        <v>0</v>
      </c>
      <c r="AX199">
        <v>3</v>
      </c>
      <c r="AY199">
        <v>0</v>
      </c>
      <c r="AZ199">
        <v>0</v>
      </c>
      <c r="BA199">
        <v>100</v>
      </c>
      <c r="BB199">
        <v>100</v>
      </c>
      <c r="BC199">
        <v>100</v>
      </c>
      <c r="BD199">
        <v>100</v>
      </c>
      <c r="BE199">
        <v>1</v>
      </c>
      <c r="BF199">
        <v>15000</v>
      </c>
      <c r="BG199">
        <v>1000</v>
      </c>
      <c r="BH199" s="8">
        <f>Granger_Inventory[[#This Row],[land_extract]]*Lookups!$B$3</f>
        <v>15600.484345565219</v>
      </c>
      <c r="BI199" s="8">
        <f>IF(Granger_Inventory[[#This Row],[bldg_style]]="",0,Lookups!$B$2)</f>
        <v>29703.559000000001</v>
      </c>
      <c r="BJ199" s="8">
        <f>_xlfn.IFNA(VLOOKUP(Granger_Inventory[[#This Row],[quality]],Lookups!$H$2:$J$14,3,FALSE),0)</f>
        <v>23737.786340274597</v>
      </c>
      <c r="BK199" s="8">
        <f>_xlfn.IFNA(VLOOKUP(Granger_Inventory[[#This Row],[condition]],Lookups!$H$17:$J$24,3,FALSE),0)</f>
        <v>86727</v>
      </c>
      <c r="BL199" s="8">
        <f>Granger_Inventory[[#This Row],[Age]]*Lookups!$B$16</f>
        <v>-19281.792300000001</v>
      </c>
      <c r="BM199" s="8">
        <f>Granger_Inventory[[#This Row],[living_area]]*Lookups!$B$17</f>
        <v>137774.917632</v>
      </c>
      <c r="BN199" s="8">
        <f>(Granger_Inventory[[#This Row],[att_gar]]+Granger_Inventory[[#This Row],[blt_gar]])*Lookups!$B$18</f>
        <v>0</v>
      </c>
      <c r="BO199" s="8">
        <f>Granger_Inventory[[#This Row],[Patio]]*Lookups!$B$19</f>
        <v>0</v>
      </c>
      <c r="BP199" s="8">
        <f>SUM(Granger_Inventory[[#This Row],[Intercept]:[Patio_Value]])*Granger_Inventory[[#This Row],[res_pct]]</f>
        <v>258661.47067227459</v>
      </c>
      <c r="BQ199" s="8">
        <f>Granger_Inventory[[#This Row],[land_value]]</f>
        <v>15600.484345565219</v>
      </c>
      <c r="BR199" s="4">
        <f>_xlfn.IFNA(VLOOKUP(Granger_Inventory[[#This Row],[quality]],Lookups!$A$25:$C$35,3,FALSE),1)</f>
        <v>0.77695375541795109</v>
      </c>
      <c r="BS199" s="4">
        <f>_xlfn.IFNA(VLOOKUP(Granger_Inventory[[#This Row],[condition]],Lookups!$A$38:$C$45,3,FALSE),1)</f>
        <v>0.85322907131620684</v>
      </c>
      <c r="BT199" s="4">
        <f>IF(Granger_Inventory[[#This Row],[decade]]="",1,_xlfn.IFNA(VLOOKUP(Granger_Inventory[[#This Row],[decade]],Lookups!$G$28:$I$42,3,FALSE),1))</f>
        <v>0.879441629375324</v>
      </c>
      <c r="BU199" s="4">
        <f>_xlfn.IFNA(VLOOKUP(Granger_Inventory[[#This Row],[living_area_range]],Lookups!$A$48:$C$57,3,FALSE),1)</f>
        <v>1.0000039906678986</v>
      </c>
      <c r="BV199" s="4">
        <f>AVERAGE(Granger_Inventory[[#This Row],[qual_adj]:[living_range_adj]])</f>
        <v>0.87740711169434515</v>
      </c>
      <c r="BW199" s="8">
        <f>(Granger_Inventory[[#This Row],[sum_land]]-IF(Granger_Inventory[[#This Row],[no_utilities]]=1,12000,0))/IF(Granger_Inventory[[#This Row],[unbuildable]]=1,2,1)</f>
        <v>15600.484345565219</v>
      </c>
      <c r="BX199" s="8">
        <f>Granger_Inventory[[#This Row],[pre_res]]*Granger_Inventory[[#This Row],[overall_adj]]</f>
        <v>226951.41388917202</v>
      </c>
      <c r="BY199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199">
        <f>ROUND(Granger_Inventory[[#This Row],[detatched_value]]*Lookups!$I$45,-2)</f>
        <v>0</v>
      </c>
      <c r="CA199">
        <f>IF(ROUND(Granger_Inventory[[#This Row],[adj_res]]*Lookups!$I$45,-2)&lt;Granger_Inventory[[#This Row],[min_res]],Granger_Inventory[[#This Row],[min_res]],ROUND(Granger_Inventory[[#This Row],[adj_res]]*Lookups!$I$45,-2))</f>
        <v>215600</v>
      </c>
      <c r="CB199">
        <f>Granger_Inventory[[#This Row],[final_det]]+Granger_Inventory[[#This Row],[final_res]]</f>
        <v>215600</v>
      </c>
      <c r="CC199">
        <f>Granger_Inventory[[#This Row],[final_land]]+Granger_Inventory[[#This Row],[final_imp]]+Granger_Inventory[[#This Row],[crop_value]]</f>
        <v>230600</v>
      </c>
      <c r="CE199" t="str">
        <f t="shared" si="3"/>
        <v>update valuation set market_land =15000, market_bldg=215600, market_total =230600, market_mdno =402, market_date ='9/10/2023' where link_id = (select link_id from parcel where parcel_year = '2024' and parcel_id = '21101643402');</v>
      </c>
    </row>
    <row r="200" spans="1:83" x14ac:dyDescent="0.25">
      <c r="A200">
        <v>21101643404</v>
      </c>
      <c r="B200">
        <v>0.16</v>
      </c>
      <c r="C200">
        <v>6849</v>
      </c>
      <c r="D200" t="s">
        <v>137</v>
      </c>
      <c r="E200" t="s">
        <v>54</v>
      </c>
      <c r="F200" t="s">
        <v>54</v>
      </c>
      <c r="G200">
        <v>3</v>
      </c>
      <c r="H200" t="s">
        <v>55</v>
      </c>
      <c r="I200">
        <v>165100</v>
      </c>
      <c r="J200">
        <v>25000</v>
      </c>
      <c r="K200">
        <v>0.16</v>
      </c>
      <c r="L20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00">
        <v>0</v>
      </c>
      <c r="N200">
        <v>0</v>
      </c>
      <c r="O200">
        <v>0</v>
      </c>
      <c r="P200">
        <v>47108.068500000001</v>
      </c>
      <c r="Q200">
        <v>122298</v>
      </c>
      <c r="R200">
        <f>(Granger_Inventory[[#This Row],[ln_acres]]*Granger_Inventory[[#This Row],[coeff]])+Granger_Inventory[[#This Row],[const]]</f>
        <v>35968.626873914327</v>
      </c>
      <c r="S200" t="s">
        <v>69</v>
      </c>
      <c r="T200">
        <v>1</v>
      </c>
      <c r="U200" t="s">
        <v>71</v>
      </c>
      <c r="V200" t="s">
        <v>77</v>
      </c>
      <c r="W200">
        <v>0</v>
      </c>
      <c r="X200">
        <v>0</v>
      </c>
      <c r="Y200">
        <v>57</v>
      </c>
      <c r="Z200">
        <v>103</v>
      </c>
      <c r="AA200">
        <v>110</v>
      </c>
      <c r="AB200">
        <v>1500</v>
      </c>
      <c r="AC200">
        <v>1404</v>
      </c>
      <c r="AD200">
        <v>1404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560</v>
      </c>
      <c r="AN200">
        <v>364</v>
      </c>
      <c r="AO200">
        <v>154</v>
      </c>
      <c r="AP200">
        <v>5</v>
      </c>
      <c r="AQ200">
        <v>1</v>
      </c>
      <c r="AR200">
        <v>0</v>
      </c>
      <c r="AS200" t="s">
        <v>59</v>
      </c>
      <c r="AT200">
        <v>0</v>
      </c>
      <c r="AU200" t="s">
        <v>142</v>
      </c>
      <c r="AV200" t="s">
        <v>144</v>
      </c>
      <c r="AW200">
        <v>0</v>
      </c>
      <c r="AX200">
        <v>5</v>
      </c>
      <c r="AY200">
        <v>0</v>
      </c>
      <c r="AZ200">
        <v>0</v>
      </c>
      <c r="BA200">
        <v>100</v>
      </c>
      <c r="BB200">
        <v>100</v>
      </c>
      <c r="BC200">
        <v>100</v>
      </c>
      <c r="BD200">
        <v>100</v>
      </c>
      <c r="BE200">
        <v>1</v>
      </c>
      <c r="BF200">
        <v>15000</v>
      </c>
      <c r="BG200">
        <v>1000</v>
      </c>
      <c r="BH200" s="8">
        <f>Granger_Inventory[[#This Row],[land_extract]]*Lookups!$B$3</f>
        <v>21427.618862498482</v>
      </c>
      <c r="BI200" s="8">
        <f>IF(Granger_Inventory[[#This Row],[bldg_style]]="",0,Lookups!$B$2)</f>
        <v>29703.559000000001</v>
      </c>
      <c r="BJ200" s="8">
        <f>_xlfn.IFNA(VLOOKUP(Granger_Inventory[[#This Row],[quality]],Lookups!$H$2:$J$14,3,FALSE),0)</f>
        <v>34195</v>
      </c>
      <c r="BK200" s="8">
        <f>_xlfn.IFNA(VLOOKUP(Granger_Inventory[[#This Row],[condition]],Lookups!$H$17:$J$24,3,FALSE),0)</f>
        <v>33736</v>
      </c>
      <c r="BL200" s="8">
        <f>Granger_Inventory[[#This Row],[Age]]*Lookups!$B$16</f>
        <v>-21355.103299999999</v>
      </c>
      <c r="BM200" s="8">
        <f>Granger_Inventory[[#This Row],[living_area]]*Lookups!$B$17</f>
        <v>94451.164235999997</v>
      </c>
      <c r="BN200" s="8">
        <f>(Granger_Inventory[[#This Row],[att_gar]]+Granger_Inventory[[#This Row],[blt_gar]])*Lookups!$B$18</f>
        <v>0</v>
      </c>
      <c r="BO200" s="8">
        <f>Granger_Inventory[[#This Row],[Patio]]*Lookups!$B$19</f>
        <v>30416.453759999997</v>
      </c>
      <c r="BP200" s="8">
        <f>SUM(Granger_Inventory[[#This Row],[Intercept]:[Patio_Value]])*Granger_Inventory[[#This Row],[res_pct]]</f>
        <v>201147.07369600001</v>
      </c>
      <c r="BQ200" s="8">
        <f>Granger_Inventory[[#This Row],[land_value]]</f>
        <v>21427.618862498482</v>
      </c>
      <c r="BR200" s="4">
        <f>_xlfn.IFNA(VLOOKUP(Granger_Inventory[[#This Row],[quality]],Lookups!$A$25:$C$35,3,FALSE),1)</f>
        <v>0.98258795897788032</v>
      </c>
      <c r="BS200" s="4">
        <f>_xlfn.IFNA(VLOOKUP(Granger_Inventory[[#This Row],[condition]],Lookups!$A$38:$C$45,3,FALSE),1)</f>
        <v>0.92294678898076177</v>
      </c>
      <c r="BT200" s="4">
        <f>IF(Granger_Inventory[[#This Row],[decade]]="",1,_xlfn.IFNA(VLOOKUP(Granger_Inventory[[#This Row],[decade]],Lookups!$G$28:$I$42,3,FALSE),1))</f>
        <v>0.879441629375324</v>
      </c>
      <c r="BU200" s="4">
        <f>_xlfn.IFNA(VLOOKUP(Granger_Inventory[[#This Row],[living_area_range]],Lookups!$A$48:$C$57,3,FALSE),1)</f>
        <v>0.97960506760539345</v>
      </c>
      <c r="BV200" s="4">
        <f>AVERAGE(Granger_Inventory[[#This Row],[qual_adj]:[living_range_adj]])</f>
        <v>0.94114536123483994</v>
      </c>
      <c r="BW200" s="8">
        <f>(Granger_Inventory[[#This Row],[sum_land]]-IF(Granger_Inventory[[#This Row],[no_utilities]]=1,12000,0))/IF(Granger_Inventory[[#This Row],[unbuildable]]=1,2,1)</f>
        <v>21427.618862498482</v>
      </c>
      <c r="BX200" s="8">
        <f>Granger_Inventory[[#This Row],[pre_res]]*Granger_Inventory[[#This Row],[overall_adj]]</f>
        <v>189308.63533495291</v>
      </c>
      <c r="BY20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00">
        <f>ROUND(Granger_Inventory[[#This Row],[detatched_value]]*Lookups!$I$45,-2)</f>
        <v>0</v>
      </c>
      <c r="CA200">
        <f>IF(ROUND(Granger_Inventory[[#This Row],[adj_res]]*Lookups!$I$45,-2)&lt;Granger_Inventory[[#This Row],[min_res]],Granger_Inventory[[#This Row],[min_res]],ROUND(Granger_Inventory[[#This Row],[adj_res]]*Lookups!$I$45,-2))</f>
        <v>179800</v>
      </c>
      <c r="CB200">
        <f>Granger_Inventory[[#This Row],[final_det]]+Granger_Inventory[[#This Row],[final_res]]</f>
        <v>179800</v>
      </c>
      <c r="CC200">
        <f>Granger_Inventory[[#This Row],[final_land]]+Granger_Inventory[[#This Row],[final_imp]]+Granger_Inventory[[#This Row],[crop_value]]</f>
        <v>200200</v>
      </c>
      <c r="CE200" t="str">
        <f t="shared" si="3"/>
        <v>update valuation set market_land =20400, market_bldg=179800, market_total =200200, market_mdno =402, market_date ='9/10/2023' where link_id = (select link_id from parcel where parcel_year = '2024' and parcel_id = '21101643404');</v>
      </c>
    </row>
    <row r="201" spans="1:83" x14ac:dyDescent="0.25">
      <c r="A201">
        <v>21101643407</v>
      </c>
      <c r="B201">
        <v>0.18</v>
      </c>
      <c r="C201">
        <v>7988</v>
      </c>
      <c r="D201" t="s">
        <v>137</v>
      </c>
      <c r="E201" t="s">
        <v>54</v>
      </c>
      <c r="F201" t="s">
        <v>54</v>
      </c>
      <c r="G201">
        <v>3</v>
      </c>
      <c r="H201" t="s">
        <v>55</v>
      </c>
      <c r="I201">
        <v>107100</v>
      </c>
      <c r="J201">
        <v>25600</v>
      </c>
      <c r="K201">
        <v>0.18</v>
      </c>
      <c r="L201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201">
        <v>0</v>
      </c>
      <c r="N201">
        <v>0</v>
      </c>
      <c r="O201">
        <v>0</v>
      </c>
      <c r="P201">
        <v>47108.068500000001</v>
      </c>
      <c r="Q201">
        <v>122298</v>
      </c>
      <c r="R201">
        <f>(Granger_Inventory[[#This Row],[ln_acres]]*Granger_Inventory[[#This Row],[coeff]])+Granger_Inventory[[#This Row],[const]]</f>
        <v>41517.1581857532</v>
      </c>
      <c r="S201" t="s">
        <v>69</v>
      </c>
      <c r="T201">
        <v>1</v>
      </c>
      <c r="U201" t="s">
        <v>71</v>
      </c>
      <c r="V201" t="s">
        <v>79</v>
      </c>
      <c r="W201">
        <v>0</v>
      </c>
      <c r="X201">
        <v>0</v>
      </c>
      <c r="Y201">
        <v>53</v>
      </c>
      <c r="Z201">
        <v>93</v>
      </c>
      <c r="AA201">
        <v>100</v>
      </c>
      <c r="AB201">
        <v>1500</v>
      </c>
      <c r="AC201">
        <v>1248</v>
      </c>
      <c r="AD201">
        <v>1248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460</v>
      </c>
      <c r="AL201">
        <v>0</v>
      </c>
      <c r="AM201">
        <v>0</v>
      </c>
      <c r="AN201">
        <v>0</v>
      </c>
      <c r="AO201">
        <v>0</v>
      </c>
      <c r="AP201">
        <v>8</v>
      </c>
      <c r="AQ201">
        <v>0</v>
      </c>
      <c r="AR201">
        <v>0</v>
      </c>
      <c r="AS201" t="s">
        <v>59</v>
      </c>
      <c r="AT201">
        <v>0</v>
      </c>
      <c r="AU201" t="s">
        <v>83</v>
      </c>
      <c r="AV201" t="s">
        <v>65</v>
      </c>
      <c r="AW201">
        <v>0</v>
      </c>
      <c r="AX201">
        <v>3</v>
      </c>
      <c r="AY201">
        <v>0</v>
      </c>
      <c r="AZ201">
        <v>0</v>
      </c>
      <c r="BA201">
        <v>100</v>
      </c>
      <c r="BB201">
        <v>100</v>
      </c>
      <c r="BC201">
        <v>100</v>
      </c>
      <c r="BD201">
        <v>100</v>
      </c>
      <c r="BE201">
        <v>1</v>
      </c>
      <c r="BF201">
        <v>15000</v>
      </c>
      <c r="BG201">
        <v>1000</v>
      </c>
      <c r="BH201" s="8">
        <f>Granger_Inventory[[#This Row],[land_extract]]*Lookups!$B$3</f>
        <v>24733.049859725303</v>
      </c>
      <c r="BI201" s="8">
        <f>IF(Granger_Inventory[[#This Row],[bldg_style]]="",0,Lookups!$B$2)</f>
        <v>29703.559000000001</v>
      </c>
      <c r="BJ201" s="8">
        <f>_xlfn.IFNA(VLOOKUP(Granger_Inventory[[#This Row],[quality]],Lookups!$H$2:$J$14,3,FALSE),0)</f>
        <v>34195</v>
      </c>
      <c r="BK201" s="8">
        <f>_xlfn.IFNA(VLOOKUP(Granger_Inventory[[#This Row],[condition]],Lookups!$H$17:$J$24,3,FALSE),0)</f>
        <v>86727</v>
      </c>
      <c r="BL201" s="8">
        <f>Granger_Inventory[[#This Row],[Age]]*Lookups!$B$16</f>
        <v>-19281.792300000001</v>
      </c>
      <c r="BM201" s="8">
        <f>Granger_Inventory[[#This Row],[living_area]]*Lookups!$B$17</f>
        <v>83956.590431999997</v>
      </c>
      <c r="BN201" s="8">
        <f>(Granger_Inventory[[#This Row],[att_gar]]+Granger_Inventory[[#This Row],[blt_gar]])*Lookups!$B$18</f>
        <v>0</v>
      </c>
      <c r="BO201" s="8">
        <f>Granger_Inventory[[#This Row],[Patio]]*Lookups!$B$19</f>
        <v>0</v>
      </c>
      <c r="BP201" s="8">
        <f>SUM(Granger_Inventory[[#This Row],[Intercept]:[Patio_Value]])*Granger_Inventory[[#This Row],[res_pct]]</f>
        <v>215300.357132</v>
      </c>
      <c r="BQ201" s="8">
        <f>Granger_Inventory[[#This Row],[land_value]]</f>
        <v>24733.049859725303</v>
      </c>
      <c r="BR201" s="4">
        <f>_xlfn.IFNA(VLOOKUP(Granger_Inventory[[#This Row],[quality]],Lookups!$A$25:$C$35,3,FALSE),1)</f>
        <v>0.98258795897788032</v>
      </c>
      <c r="BS201" s="4">
        <f>_xlfn.IFNA(VLOOKUP(Granger_Inventory[[#This Row],[condition]],Lookups!$A$38:$C$45,3,FALSE),1)</f>
        <v>0.85322907131620684</v>
      </c>
      <c r="BT201" s="4">
        <f>IF(Granger_Inventory[[#This Row],[decade]]="",1,_xlfn.IFNA(VLOOKUP(Granger_Inventory[[#This Row],[decade]],Lookups!$G$28:$I$42,3,FALSE),1))</f>
        <v>0.879441629375324</v>
      </c>
      <c r="BU201" s="4">
        <f>_xlfn.IFNA(VLOOKUP(Granger_Inventory[[#This Row],[living_area_range]],Lookups!$A$48:$C$57,3,FALSE),1)</f>
        <v>0.97960506760539345</v>
      </c>
      <c r="BV201" s="4">
        <f>AVERAGE(Granger_Inventory[[#This Row],[qual_adj]:[living_range_adj]])</f>
        <v>0.92371593181870115</v>
      </c>
      <c r="BW201" s="8">
        <f>(Granger_Inventory[[#This Row],[sum_land]]-IF(Granger_Inventory[[#This Row],[no_utilities]]=1,12000,0))/IF(Granger_Inventory[[#This Row],[unbuildable]]=1,2,1)</f>
        <v>24733.049859725303</v>
      </c>
      <c r="BX201" s="8">
        <f>Granger_Inventory[[#This Row],[pre_res]]*Granger_Inventory[[#This Row],[overall_adj]]</f>
        <v>198876.37000908452</v>
      </c>
      <c r="BY201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201">
        <f>ROUND(Granger_Inventory[[#This Row],[detatched_value]]*Lookups!$I$45,-2)</f>
        <v>0</v>
      </c>
      <c r="CA201">
        <f>IF(ROUND(Granger_Inventory[[#This Row],[adj_res]]*Lookups!$I$45,-2)&lt;Granger_Inventory[[#This Row],[min_res]],Granger_Inventory[[#This Row],[min_res]],ROUND(Granger_Inventory[[#This Row],[adj_res]]*Lookups!$I$45,-2))</f>
        <v>188900</v>
      </c>
      <c r="CB201">
        <f>Granger_Inventory[[#This Row],[final_det]]+Granger_Inventory[[#This Row],[final_res]]</f>
        <v>188900</v>
      </c>
      <c r="CC201">
        <f>Granger_Inventory[[#This Row],[final_land]]+Granger_Inventory[[#This Row],[final_imp]]+Granger_Inventory[[#This Row],[crop_value]]</f>
        <v>212400</v>
      </c>
      <c r="CE201" t="str">
        <f t="shared" si="3"/>
        <v>update valuation set market_land =23500, market_bldg=188900, market_total =212400, market_mdno =402, market_date ='9/10/2023' where link_id = (select link_id from parcel where parcel_year = '2024' and parcel_id = '21101643407');</v>
      </c>
    </row>
    <row r="202" spans="1:83" x14ac:dyDescent="0.25">
      <c r="A202">
        <v>21101643412</v>
      </c>
      <c r="B202">
        <v>0.21</v>
      </c>
      <c r="C202">
        <v>9192</v>
      </c>
      <c r="D202" t="s">
        <v>137</v>
      </c>
      <c r="E202" t="s">
        <v>54</v>
      </c>
      <c r="F202" t="s">
        <v>54</v>
      </c>
      <c r="G202">
        <v>3</v>
      </c>
      <c r="H202" t="s">
        <v>55</v>
      </c>
      <c r="I202">
        <v>123600</v>
      </c>
      <c r="J202">
        <v>26500</v>
      </c>
      <c r="K202">
        <v>0.21</v>
      </c>
      <c r="L202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02">
        <v>0</v>
      </c>
      <c r="N202">
        <v>0</v>
      </c>
      <c r="O202">
        <v>0</v>
      </c>
      <c r="P202">
        <v>47108.068500000001</v>
      </c>
      <c r="Q202">
        <v>122298</v>
      </c>
      <c r="R202">
        <f>(Granger_Inventory[[#This Row],[ln_acres]]*Granger_Inventory[[#This Row],[coeff]])+Granger_Inventory[[#This Row],[const]]</f>
        <v>48778.898970377239</v>
      </c>
      <c r="S202" t="s">
        <v>56</v>
      </c>
      <c r="T202">
        <v>1</v>
      </c>
      <c r="U202" t="s">
        <v>64</v>
      </c>
      <c r="V202" t="s">
        <v>79</v>
      </c>
      <c r="W202">
        <v>0</v>
      </c>
      <c r="X202">
        <v>0</v>
      </c>
      <c r="Y202">
        <v>38</v>
      </c>
      <c r="Z202">
        <v>38</v>
      </c>
      <c r="AA202">
        <v>40</v>
      </c>
      <c r="AB202">
        <v>2000</v>
      </c>
      <c r="AC202">
        <v>1711</v>
      </c>
      <c r="AD202">
        <v>1711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8</v>
      </c>
      <c r="AQ202">
        <v>0</v>
      </c>
      <c r="AR202">
        <v>0</v>
      </c>
      <c r="AS202" t="s">
        <v>59</v>
      </c>
      <c r="AT202">
        <v>1</v>
      </c>
      <c r="AU202" t="s">
        <v>60</v>
      </c>
      <c r="AV202" t="s">
        <v>65</v>
      </c>
      <c r="AW202">
        <v>0</v>
      </c>
      <c r="AX202">
        <v>2</v>
      </c>
      <c r="AY202">
        <v>0</v>
      </c>
      <c r="AZ202">
        <v>0</v>
      </c>
      <c r="BA202">
        <v>100</v>
      </c>
      <c r="BB202">
        <v>100</v>
      </c>
      <c r="BC202">
        <v>100</v>
      </c>
      <c r="BD202">
        <v>100</v>
      </c>
      <c r="BE202">
        <v>1</v>
      </c>
      <c r="BF202">
        <v>15000</v>
      </c>
      <c r="BG202">
        <v>1000</v>
      </c>
      <c r="BH202" s="8">
        <f>Granger_Inventory[[#This Row],[land_extract]]*Lookups!$B$3</f>
        <v>29059.09250674201</v>
      </c>
      <c r="BI202" s="8">
        <f>IF(Granger_Inventory[[#This Row],[bldg_style]]="",0,Lookups!$B$2)</f>
        <v>29703.559000000001</v>
      </c>
      <c r="BJ202" s="8">
        <f>_xlfn.IFNA(VLOOKUP(Granger_Inventory[[#This Row],[quality]],Lookups!$H$2:$J$14,3,FALSE),0)</f>
        <v>36568</v>
      </c>
      <c r="BK202" s="8">
        <f>_xlfn.IFNA(VLOOKUP(Granger_Inventory[[#This Row],[condition]],Lookups!$H$17:$J$24,3,FALSE),0)</f>
        <v>86727</v>
      </c>
      <c r="BL202" s="8">
        <f>Granger_Inventory[[#This Row],[Age]]*Lookups!$B$16</f>
        <v>-7878.5817999999999</v>
      </c>
      <c r="BM202" s="8">
        <f>Granger_Inventory[[#This Row],[living_area]]*Lookups!$B$17</f>
        <v>115103.94729899999</v>
      </c>
      <c r="BN202" s="8">
        <f>(Granger_Inventory[[#This Row],[att_gar]]+Granger_Inventory[[#This Row],[blt_gar]])*Lookups!$B$18</f>
        <v>0</v>
      </c>
      <c r="BO202" s="8">
        <f>Granger_Inventory[[#This Row],[Patio]]*Lookups!$B$19</f>
        <v>0</v>
      </c>
      <c r="BP202" s="8">
        <f>SUM(Granger_Inventory[[#This Row],[Intercept]:[Patio_Value]])*Granger_Inventory[[#This Row],[res_pct]]</f>
        <v>260223.92449900002</v>
      </c>
      <c r="BQ202" s="8">
        <f>Granger_Inventory[[#This Row],[land_value]]</f>
        <v>29059.09250674201</v>
      </c>
      <c r="BR202" s="4">
        <f>_xlfn.IFNA(VLOOKUP(Granger_Inventory[[#This Row],[quality]],Lookups!$A$25:$C$35,3,FALSE),1)</f>
        <v>0.99049976351917957</v>
      </c>
      <c r="BS202" s="4">
        <f>_xlfn.IFNA(VLOOKUP(Granger_Inventory[[#This Row],[condition]],Lookups!$A$38:$C$45,3,FALSE),1)</f>
        <v>0.85322907131620684</v>
      </c>
      <c r="BT202" s="4">
        <f>IF(Granger_Inventory[[#This Row],[decade]]="",1,_xlfn.IFNA(VLOOKUP(Granger_Inventory[[#This Row],[decade]],Lookups!$G$28:$I$42,3,FALSE),1))</f>
        <v>0.98127609555109363</v>
      </c>
      <c r="BU202" s="4">
        <f>_xlfn.IFNA(VLOOKUP(Granger_Inventory[[#This Row],[living_area_range]],Lookups!$A$48:$C$57,3,FALSE),1)</f>
        <v>0.97860968051050168</v>
      </c>
      <c r="BV202" s="4">
        <f>AVERAGE(Granger_Inventory[[#This Row],[qual_adj]:[living_range_adj]])</f>
        <v>0.95090365272424549</v>
      </c>
      <c r="BW202" s="8">
        <f>(Granger_Inventory[[#This Row],[sum_land]]-IF(Granger_Inventory[[#This Row],[no_utilities]]=1,12000,0))/IF(Granger_Inventory[[#This Row],[unbuildable]]=1,2,1)</f>
        <v>29059.09250674201</v>
      </c>
      <c r="BX202" s="8">
        <f>Granger_Inventory[[#This Row],[pre_res]]*Granger_Inventory[[#This Row],[overall_adj]]</f>
        <v>247447.8803323374</v>
      </c>
      <c r="BY202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02">
        <f>ROUND(Granger_Inventory[[#This Row],[detatched_value]]*Lookups!$I$45,-2)</f>
        <v>0</v>
      </c>
      <c r="CA202">
        <f>IF(ROUND(Granger_Inventory[[#This Row],[adj_res]]*Lookups!$I$45,-2)&lt;Granger_Inventory[[#This Row],[min_res]],Granger_Inventory[[#This Row],[min_res]],ROUND(Granger_Inventory[[#This Row],[adj_res]]*Lookups!$I$45,-2))</f>
        <v>235100</v>
      </c>
      <c r="CB202">
        <f>Granger_Inventory[[#This Row],[final_det]]+Granger_Inventory[[#This Row],[final_res]]</f>
        <v>235100</v>
      </c>
      <c r="CC202">
        <f>Granger_Inventory[[#This Row],[final_land]]+Granger_Inventory[[#This Row],[final_imp]]+Granger_Inventory[[#This Row],[crop_value]]</f>
        <v>262700</v>
      </c>
      <c r="CE202" t="str">
        <f t="shared" si="3"/>
        <v>update valuation set market_land =27600, market_bldg=235100, market_total =262700, market_mdno =402, market_date ='9/10/2023' where link_id = (select link_id from parcel where parcel_year = '2024' and parcel_id = '21101643412');</v>
      </c>
    </row>
    <row r="203" spans="1:83" x14ac:dyDescent="0.25">
      <c r="A203">
        <v>21101643415</v>
      </c>
      <c r="B203">
        <v>0.27</v>
      </c>
      <c r="C203">
        <v>11842</v>
      </c>
      <c r="D203" t="s">
        <v>137</v>
      </c>
      <c r="E203" t="s">
        <v>54</v>
      </c>
      <c r="F203" t="s">
        <v>54</v>
      </c>
      <c r="G203">
        <v>3</v>
      </c>
      <c r="H203" t="s">
        <v>55</v>
      </c>
      <c r="I203">
        <v>116900</v>
      </c>
      <c r="J203">
        <v>27900</v>
      </c>
      <c r="K203">
        <v>0.27</v>
      </c>
      <c r="L203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203">
        <v>0</v>
      </c>
      <c r="N203">
        <v>0</v>
      </c>
      <c r="O203">
        <v>0</v>
      </c>
      <c r="P203">
        <v>47108.068500000001</v>
      </c>
      <c r="Q203">
        <v>122298</v>
      </c>
      <c r="R203">
        <f>(Granger_Inventory[[#This Row],[ln_acres]]*Granger_Inventory[[#This Row],[coeff]])+Granger_Inventory[[#This Row],[const]]</f>
        <v>60617.836272872511</v>
      </c>
      <c r="S203" t="s">
        <v>69</v>
      </c>
      <c r="T203">
        <v>1</v>
      </c>
      <c r="U203" t="s">
        <v>71</v>
      </c>
      <c r="V203" t="s">
        <v>77</v>
      </c>
      <c r="W203">
        <v>0</v>
      </c>
      <c r="X203">
        <v>0</v>
      </c>
      <c r="Y203">
        <v>51</v>
      </c>
      <c r="Z203">
        <v>83</v>
      </c>
      <c r="AA203">
        <v>90</v>
      </c>
      <c r="AB203">
        <v>1500</v>
      </c>
      <c r="AC203">
        <v>1278</v>
      </c>
      <c r="AD203">
        <v>1278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168</v>
      </c>
      <c r="AN203">
        <v>0</v>
      </c>
      <c r="AO203">
        <v>168</v>
      </c>
      <c r="AP203">
        <v>5</v>
      </c>
      <c r="AQ203">
        <v>0</v>
      </c>
      <c r="AR203">
        <v>0</v>
      </c>
      <c r="AS203" t="s">
        <v>59</v>
      </c>
      <c r="AT203">
        <v>1</v>
      </c>
      <c r="AU203" t="s">
        <v>60</v>
      </c>
      <c r="AV203" t="s">
        <v>61</v>
      </c>
      <c r="AW203">
        <v>0</v>
      </c>
      <c r="AX203">
        <v>3</v>
      </c>
      <c r="AY203">
        <v>0</v>
      </c>
      <c r="AZ203">
        <v>0</v>
      </c>
      <c r="BA203">
        <v>100</v>
      </c>
      <c r="BB203">
        <v>100</v>
      </c>
      <c r="BC203">
        <v>100</v>
      </c>
      <c r="BD203">
        <v>100</v>
      </c>
      <c r="BE203">
        <v>1</v>
      </c>
      <c r="BF203">
        <v>15000</v>
      </c>
      <c r="BG203">
        <v>1000</v>
      </c>
      <c r="BH203" s="8">
        <f>Granger_Inventory[[#This Row],[land_extract]]*Lookups!$B$3</f>
        <v>36111.912097107357</v>
      </c>
      <c r="BI203" s="8">
        <f>IF(Granger_Inventory[[#This Row],[bldg_style]]="",0,Lookups!$B$2)</f>
        <v>29703.559000000001</v>
      </c>
      <c r="BJ203" s="8">
        <f>_xlfn.IFNA(VLOOKUP(Granger_Inventory[[#This Row],[quality]],Lookups!$H$2:$J$14,3,FALSE),0)</f>
        <v>34195</v>
      </c>
      <c r="BK203" s="8">
        <f>_xlfn.IFNA(VLOOKUP(Granger_Inventory[[#This Row],[condition]],Lookups!$H$17:$J$24,3,FALSE),0)</f>
        <v>33736</v>
      </c>
      <c r="BL203" s="8">
        <f>Granger_Inventory[[#This Row],[Age]]*Lookups!$B$16</f>
        <v>-17208.481299999999</v>
      </c>
      <c r="BM203" s="8">
        <f>Granger_Inventory[[#This Row],[living_area]]*Lookups!$B$17</f>
        <v>85974.777701999992</v>
      </c>
      <c r="BN203" s="8">
        <f>(Granger_Inventory[[#This Row],[att_gar]]+Granger_Inventory[[#This Row],[blt_gar]])*Lookups!$B$18</f>
        <v>0</v>
      </c>
      <c r="BO203" s="8">
        <f>Granger_Inventory[[#This Row],[Patio]]*Lookups!$B$19</f>
        <v>9124.9361279999994</v>
      </c>
      <c r="BP203" s="8">
        <f>SUM(Granger_Inventory[[#This Row],[Intercept]:[Patio_Value]])*Granger_Inventory[[#This Row],[res_pct]]</f>
        <v>175525.79153000002</v>
      </c>
      <c r="BQ203" s="8">
        <f>Granger_Inventory[[#This Row],[land_value]]</f>
        <v>36111.912097107357</v>
      </c>
      <c r="BR203" s="4">
        <f>_xlfn.IFNA(VLOOKUP(Granger_Inventory[[#This Row],[quality]],Lookups!$A$25:$C$35,3,FALSE),1)</f>
        <v>0.98258795897788032</v>
      </c>
      <c r="BS203" s="4">
        <f>_xlfn.IFNA(VLOOKUP(Granger_Inventory[[#This Row],[condition]],Lookups!$A$38:$C$45,3,FALSE),1)</f>
        <v>0.92294678898076177</v>
      </c>
      <c r="BT203" s="4">
        <f>IF(Granger_Inventory[[#This Row],[decade]]="",1,_xlfn.IFNA(VLOOKUP(Granger_Inventory[[#This Row],[decade]],Lookups!$G$28:$I$42,3,FALSE),1))</f>
        <v>0.95234610137492615</v>
      </c>
      <c r="BU203" s="4">
        <f>_xlfn.IFNA(VLOOKUP(Granger_Inventory[[#This Row],[living_area_range]],Lookups!$A$48:$C$57,3,FALSE),1)</f>
        <v>0.97960506760539345</v>
      </c>
      <c r="BV203" s="4">
        <f>AVERAGE(Granger_Inventory[[#This Row],[qual_adj]:[living_range_adj]])</f>
        <v>0.95937147923474042</v>
      </c>
      <c r="BW203" s="8">
        <f>(Granger_Inventory[[#This Row],[sum_land]]-IF(Granger_Inventory[[#This Row],[no_utilities]]=1,12000,0))/IF(Granger_Inventory[[#This Row],[unbuildable]]=1,2,1)</f>
        <v>36111.912097107357</v>
      </c>
      <c r="BX203" s="8">
        <f>Granger_Inventory[[#This Row],[pre_res]]*Granger_Inventory[[#This Row],[overall_adj]]</f>
        <v>168394.43826398478</v>
      </c>
      <c r="BY203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203">
        <f>ROUND(Granger_Inventory[[#This Row],[detatched_value]]*Lookups!$I$45,-2)</f>
        <v>0</v>
      </c>
      <c r="CA203">
        <f>IF(ROUND(Granger_Inventory[[#This Row],[adj_res]]*Lookups!$I$45,-2)&lt;Granger_Inventory[[#This Row],[min_res]],Granger_Inventory[[#This Row],[min_res]],ROUND(Granger_Inventory[[#This Row],[adj_res]]*Lookups!$I$45,-2))</f>
        <v>160000</v>
      </c>
      <c r="CB203">
        <f>Granger_Inventory[[#This Row],[final_det]]+Granger_Inventory[[#This Row],[final_res]]</f>
        <v>160000</v>
      </c>
      <c r="CC203">
        <f>Granger_Inventory[[#This Row],[final_land]]+Granger_Inventory[[#This Row],[final_imp]]+Granger_Inventory[[#This Row],[crop_value]]</f>
        <v>194300</v>
      </c>
      <c r="CE203" t="str">
        <f t="shared" si="3"/>
        <v>update valuation set market_land =34300, market_bldg=160000, market_total =194300, market_mdno =402, market_date ='9/10/2023' where link_id = (select link_id from parcel where parcel_year = '2024' and parcel_id = '21101643415');</v>
      </c>
    </row>
    <row r="204" spans="1:83" x14ac:dyDescent="0.25">
      <c r="A204">
        <v>21101643416</v>
      </c>
      <c r="B204">
        <v>0.17</v>
      </c>
      <c r="C204">
        <v>7607</v>
      </c>
      <c r="D204" t="s">
        <v>137</v>
      </c>
      <c r="E204" t="s">
        <v>54</v>
      </c>
      <c r="F204" t="s">
        <v>54</v>
      </c>
      <c r="G204">
        <v>3</v>
      </c>
      <c r="H204" t="s">
        <v>55</v>
      </c>
      <c r="I204">
        <v>74600</v>
      </c>
      <c r="J204">
        <v>25300</v>
      </c>
      <c r="K204">
        <v>0.17</v>
      </c>
      <c r="L204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204">
        <v>0</v>
      </c>
      <c r="N204">
        <v>0</v>
      </c>
      <c r="O204">
        <v>0</v>
      </c>
      <c r="P204">
        <v>47108.068500000001</v>
      </c>
      <c r="Q204">
        <v>122298</v>
      </c>
      <c r="R204">
        <f>(Granger_Inventory[[#This Row],[ln_acres]]*Granger_Inventory[[#This Row],[coeff]])+Granger_Inventory[[#This Row],[const]]</f>
        <v>38824.535711229546</v>
      </c>
      <c r="S204" t="s">
        <v>69</v>
      </c>
      <c r="T204">
        <v>1</v>
      </c>
      <c r="U204" t="s">
        <v>78</v>
      </c>
      <c r="V204" t="s">
        <v>77</v>
      </c>
      <c r="W204">
        <v>0</v>
      </c>
      <c r="X204">
        <v>0</v>
      </c>
      <c r="Y204">
        <v>53</v>
      </c>
      <c r="Z204">
        <v>93</v>
      </c>
      <c r="AA204">
        <v>100</v>
      </c>
      <c r="AB204">
        <v>1000</v>
      </c>
      <c r="AC204">
        <v>924</v>
      </c>
      <c r="AD204">
        <v>924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5</v>
      </c>
      <c r="AQ204">
        <v>1</v>
      </c>
      <c r="AR204">
        <v>0</v>
      </c>
      <c r="AS204" t="s">
        <v>59</v>
      </c>
      <c r="AT204">
        <v>1</v>
      </c>
      <c r="AU204" t="s">
        <v>76</v>
      </c>
      <c r="AV204" t="s">
        <v>65</v>
      </c>
      <c r="AW204">
        <v>0</v>
      </c>
      <c r="AX204">
        <v>3</v>
      </c>
      <c r="AY204">
        <v>0</v>
      </c>
      <c r="AZ204">
        <v>0</v>
      </c>
      <c r="BA204">
        <v>100</v>
      </c>
      <c r="BB204">
        <v>100</v>
      </c>
      <c r="BC204">
        <v>100</v>
      </c>
      <c r="BD204">
        <v>100</v>
      </c>
      <c r="BE204">
        <v>1</v>
      </c>
      <c r="BF204">
        <v>15000</v>
      </c>
      <c r="BG204">
        <v>1000</v>
      </c>
      <c r="BH204" s="8">
        <f>Granger_Inventory[[#This Row],[land_extract]]*Lookups!$B$3</f>
        <v>23128.971718879347</v>
      </c>
      <c r="BI204" s="8">
        <f>IF(Granger_Inventory[[#This Row],[bldg_style]]="",0,Lookups!$B$2)</f>
        <v>29703.559000000001</v>
      </c>
      <c r="BJ204" s="8">
        <f>_xlfn.IFNA(VLOOKUP(Granger_Inventory[[#This Row],[quality]],Lookups!$H$2:$J$14,3,FALSE),0)</f>
        <v>23737.786340274597</v>
      </c>
      <c r="BK204" s="8">
        <f>_xlfn.IFNA(VLOOKUP(Granger_Inventory[[#This Row],[condition]],Lookups!$H$17:$J$24,3,FALSE),0)</f>
        <v>33736</v>
      </c>
      <c r="BL204" s="8">
        <f>Granger_Inventory[[#This Row],[Age]]*Lookups!$B$16</f>
        <v>-19281.792300000001</v>
      </c>
      <c r="BM204" s="8">
        <f>Granger_Inventory[[#This Row],[living_area]]*Lookups!$B$17</f>
        <v>62160.167915999999</v>
      </c>
      <c r="BN204" s="8">
        <f>(Granger_Inventory[[#This Row],[att_gar]]+Granger_Inventory[[#This Row],[blt_gar]])*Lookups!$B$18</f>
        <v>0</v>
      </c>
      <c r="BO204" s="8">
        <f>Granger_Inventory[[#This Row],[Patio]]*Lookups!$B$19</f>
        <v>0</v>
      </c>
      <c r="BP204" s="8">
        <f>SUM(Granger_Inventory[[#This Row],[Intercept]:[Patio_Value]])*Granger_Inventory[[#This Row],[res_pct]]</f>
        <v>130055.7209562746</v>
      </c>
      <c r="BQ204" s="8">
        <f>Granger_Inventory[[#This Row],[land_value]]</f>
        <v>23128.971718879347</v>
      </c>
      <c r="BR204" s="4">
        <f>_xlfn.IFNA(VLOOKUP(Granger_Inventory[[#This Row],[quality]],Lookups!$A$25:$C$35,3,FALSE),1)</f>
        <v>0.77695375541795109</v>
      </c>
      <c r="BS204" s="4">
        <f>_xlfn.IFNA(VLOOKUP(Granger_Inventory[[#This Row],[condition]],Lookups!$A$38:$C$45,3,FALSE),1)</f>
        <v>0.92294678898076177</v>
      </c>
      <c r="BT204" s="4">
        <f>IF(Granger_Inventory[[#This Row],[decade]]="",1,_xlfn.IFNA(VLOOKUP(Granger_Inventory[[#This Row],[decade]],Lookups!$G$28:$I$42,3,FALSE),1))</f>
        <v>0.879441629375324</v>
      </c>
      <c r="BU204" s="4">
        <f>_xlfn.IFNA(VLOOKUP(Granger_Inventory[[#This Row],[living_area_range]],Lookups!$A$48:$C$57,3,FALSE),1)</f>
        <v>0.81272404900450645</v>
      </c>
      <c r="BV204" s="4">
        <f>AVERAGE(Granger_Inventory[[#This Row],[qual_adj]:[living_range_adj]])</f>
        <v>0.84801655569463574</v>
      </c>
      <c r="BW204" s="8">
        <f>(Granger_Inventory[[#This Row],[sum_land]]-IF(Granger_Inventory[[#This Row],[no_utilities]]=1,12000,0))/IF(Granger_Inventory[[#This Row],[unbuildable]]=1,2,1)</f>
        <v>23128.971718879347</v>
      </c>
      <c r="BX204" s="8">
        <f>Granger_Inventory[[#This Row],[pre_res]]*Granger_Inventory[[#This Row],[overall_adj]]</f>
        <v>110289.40453372264</v>
      </c>
      <c r="BY204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204">
        <f>ROUND(Granger_Inventory[[#This Row],[detatched_value]]*Lookups!$I$45,-2)</f>
        <v>0</v>
      </c>
      <c r="CA204">
        <f>IF(ROUND(Granger_Inventory[[#This Row],[adj_res]]*Lookups!$I$45,-2)&lt;Granger_Inventory[[#This Row],[min_res]],Granger_Inventory[[#This Row],[min_res]],ROUND(Granger_Inventory[[#This Row],[adj_res]]*Lookups!$I$45,-2))</f>
        <v>104800</v>
      </c>
      <c r="CB204">
        <f>Granger_Inventory[[#This Row],[final_det]]+Granger_Inventory[[#This Row],[final_res]]</f>
        <v>104800</v>
      </c>
      <c r="CC204">
        <f>Granger_Inventory[[#This Row],[final_land]]+Granger_Inventory[[#This Row],[final_imp]]+Granger_Inventory[[#This Row],[crop_value]]</f>
        <v>126800</v>
      </c>
      <c r="CE204" t="str">
        <f t="shared" si="3"/>
        <v>update valuation set market_land =22000, market_bldg=104800, market_total =126800, market_mdno =402, market_date ='9/10/2023' where link_id = (select link_id from parcel where parcel_year = '2024' and parcel_id = '21101643416');</v>
      </c>
    </row>
    <row r="205" spans="1:83" x14ac:dyDescent="0.25">
      <c r="A205">
        <v>21101643417</v>
      </c>
      <c r="B205">
        <v>0.18</v>
      </c>
      <c r="C205">
        <v>7953</v>
      </c>
      <c r="D205" t="s">
        <v>137</v>
      </c>
      <c r="E205" t="s">
        <v>54</v>
      </c>
      <c r="F205" t="s">
        <v>54</v>
      </c>
      <c r="G205">
        <v>3</v>
      </c>
      <c r="H205" t="s">
        <v>55</v>
      </c>
      <c r="I205">
        <v>165600</v>
      </c>
      <c r="J205">
        <v>25600</v>
      </c>
      <c r="K205">
        <v>0.18</v>
      </c>
      <c r="L205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205">
        <v>0</v>
      </c>
      <c r="N205">
        <v>0</v>
      </c>
      <c r="O205">
        <v>0</v>
      </c>
      <c r="P205">
        <v>47108.068500000001</v>
      </c>
      <c r="Q205">
        <v>122298</v>
      </c>
      <c r="R205">
        <f>(Granger_Inventory[[#This Row],[ln_acres]]*Granger_Inventory[[#This Row],[coeff]])+Granger_Inventory[[#This Row],[const]]</f>
        <v>41517.1581857532</v>
      </c>
      <c r="S205" t="s">
        <v>62</v>
      </c>
      <c r="T205">
        <v>2</v>
      </c>
      <c r="U205" t="s">
        <v>64</v>
      </c>
      <c r="V205" t="s">
        <v>77</v>
      </c>
      <c r="W205">
        <v>0</v>
      </c>
      <c r="X205">
        <v>0</v>
      </c>
      <c r="Y205">
        <v>51</v>
      </c>
      <c r="Z205">
        <v>78</v>
      </c>
      <c r="AA205">
        <v>80</v>
      </c>
      <c r="AB205">
        <v>1500</v>
      </c>
      <c r="AC205">
        <v>1404</v>
      </c>
      <c r="AD205">
        <v>1080</v>
      </c>
      <c r="AE205">
        <v>324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36</v>
      </c>
      <c r="AM205">
        <v>32</v>
      </c>
      <c r="AN205">
        <v>0</v>
      </c>
      <c r="AO205">
        <v>0</v>
      </c>
      <c r="AP205">
        <v>7</v>
      </c>
      <c r="AQ205">
        <v>0</v>
      </c>
      <c r="AR205">
        <v>0</v>
      </c>
      <c r="AS205" t="s">
        <v>59</v>
      </c>
      <c r="AT205">
        <v>1</v>
      </c>
      <c r="AU205" t="s">
        <v>63</v>
      </c>
      <c r="AV205" t="s">
        <v>65</v>
      </c>
      <c r="AW205">
        <v>1</v>
      </c>
      <c r="AX205">
        <v>4</v>
      </c>
      <c r="AY205">
        <v>0</v>
      </c>
      <c r="AZ205">
        <v>0</v>
      </c>
      <c r="BA205">
        <v>100</v>
      </c>
      <c r="BB205">
        <v>100</v>
      </c>
      <c r="BC205">
        <v>100</v>
      </c>
      <c r="BD205">
        <v>100</v>
      </c>
      <c r="BE205">
        <v>1</v>
      </c>
      <c r="BF205">
        <v>15000</v>
      </c>
      <c r="BG205">
        <v>1000</v>
      </c>
      <c r="BH205" s="8">
        <f>Granger_Inventory[[#This Row],[land_extract]]*Lookups!$B$3</f>
        <v>24733.049859725303</v>
      </c>
      <c r="BI205" s="8">
        <f>IF(Granger_Inventory[[#This Row],[bldg_style]]="",0,Lookups!$B$2)</f>
        <v>29703.559000000001</v>
      </c>
      <c r="BJ205" s="8">
        <f>_xlfn.IFNA(VLOOKUP(Granger_Inventory[[#This Row],[quality]],Lookups!$H$2:$J$14,3,FALSE),0)</f>
        <v>36568</v>
      </c>
      <c r="BK205" s="8">
        <f>_xlfn.IFNA(VLOOKUP(Granger_Inventory[[#This Row],[condition]],Lookups!$H$17:$J$24,3,FALSE),0)</f>
        <v>33736</v>
      </c>
      <c r="BL205" s="8">
        <f>Granger_Inventory[[#This Row],[Age]]*Lookups!$B$16</f>
        <v>-16171.825799999999</v>
      </c>
      <c r="BM205" s="8">
        <f>Granger_Inventory[[#This Row],[living_area]]*Lookups!$B$17</f>
        <v>94451.164235999997</v>
      </c>
      <c r="BN205" s="8">
        <f>(Granger_Inventory[[#This Row],[att_gar]]+Granger_Inventory[[#This Row],[blt_gar]])*Lookups!$B$18</f>
        <v>0</v>
      </c>
      <c r="BO205" s="8">
        <f>Granger_Inventory[[#This Row],[Patio]]*Lookups!$B$19</f>
        <v>1738.0830719999999</v>
      </c>
      <c r="BP205" s="8">
        <f>SUM(Granger_Inventory[[#This Row],[Intercept]:[Patio_Value]])*Granger_Inventory[[#This Row],[res_pct]]</f>
        <v>180024.98050800001</v>
      </c>
      <c r="BQ205" s="8">
        <f>Granger_Inventory[[#This Row],[land_value]]</f>
        <v>24733.049859725303</v>
      </c>
      <c r="BR205" s="4">
        <f>_xlfn.IFNA(VLOOKUP(Granger_Inventory[[#This Row],[quality]],Lookups!$A$25:$C$35,3,FALSE),1)</f>
        <v>0.99049976351917957</v>
      </c>
      <c r="BS205" s="4">
        <f>_xlfn.IFNA(VLOOKUP(Granger_Inventory[[#This Row],[condition]],Lookups!$A$38:$C$45,3,FALSE),1)</f>
        <v>0.92294678898076177</v>
      </c>
      <c r="BT205" s="4">
        <f>IF(Granger_Inventory[[#This Row],[decade]]="",1,_xlfn.IFNA(VLOOKUP(Granger_Inventory[[#This Row],[decade]],Lookups!$G$28:$I$42,3,FALSE),1))</f>
        <v>0.76006056002554967</v>
      </c>
      <c r="BU205" s="4">
        <f>_xlfn.IFNA(VLOOKUP(Granger_Inventory[[#This Row],[living_area_range]],Lookups!$A$48:$C$57,3,FALSE),1)</f>
        <v>0.97960506760539345</v>
      </c>
      <c r="BV205" s="4">
        <f>AVERAGE(Granger_Inventory[[#This Row],[qual_adj]:[living_range_adj]])</f>
        <v>0.91327804503272114</v>
      </c>
      <c r="BW205" s="8">
        <f>(Granger_Inventory[[#This Row],[sum_land]]-IF(Granger_Inventory[[#This Row],[no_utilities]]=1,12000,0))/IF(Granger_Inventory[[#This Row],[unbuildable]]=1,2,1)</f>
        <v>24733.049859725303</v>
      </c>
      <c r="BX205" s="8">
        <f>Granger_Inventory[[#This Row],[pre_res]]*Granger_Inventory[[#This Row],[overall_adj]]</f>
        <v>164412.86225539999</v>
      </c>
      <c r="BY205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205">
        <f>ROUND(Granger_Inventory[[#This Row],[detatched_value]]*Lookups!$I$45,-2)</f>
        <v>0</v>
      </c>
      <c r="CA205">
        <f>IF(ROUND(Granger_Inventory[[#This Row],[adj_res]]*Lookups!$I$45,-2)&lt;Granger_Inventory[[#This Row],[min_res]],Granger_Inventory[[#This Row],[min_res]],ROUND(Granger_Inventory[[#This Row],[adj_res]]*Lookups!$I$45,-2))</f>
        <v>156200</v>
      </c>
      <c r="CB205">
        <f>Granger_Inventory[[#This Row],[final_det]]+Granger_Inventory[[#This Row],[final_res]]</f>
        <v>156200</v>
      </c>
      <c r="CC205">
        <f>Granger_Inventory[[#This Row],[final_land]]+Granger_Inventory[[#This Row],[final_imp]]+Granger_Inventory[[#This Row],[crop_value]]</f>
        <v>179700</v>
      </c>
      <c r="CE205" t="str">
        <f t="shared" si="3"/>
        <v>update valuation set market_land =23500, market_bldg=156200, market_total =179700, market_mdno =402, market_date ='9/10/2023' where link_id = (select link_id from parcel where parcel_year = '2024' and parcel_id = '21101643417');</v>
      </c>
    </row>
    <row r="206" spans="1:83" x14ac:dyDescent="0.25">
      <c r="A206">
        <v>21101643418</v>
      </c>
      <c r="B206">
        <v>0.18</v>
      </c>
      <c r="C206">
        <v>7819</v>
      </c>
      <c r="D206" t="s">
        <v>137</v>
      </c>
      <c r="E206" t="s">
        <v>54</v>
      </c>
      <c r="F206" t="s">
        <v>54</v>
      </c>
      <c r="G206">
        <v>3</v>
      </c>
      <c r="H206" t="s">
        <v>55</v>
      </c>
      <c r="I206">
        <v>248700</v>
      </c>
      <c r="J206">
        <v>25600</v>
      </c>
      <c r="K206">
        <v>0.18</v>
      </c>
      <c r="L20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206">
        <v>0</v>
      </c>
      <c r="N206">
        <v>0</v>
      </c>
      <c r="O206">
        <v>0</v>
      </c>
      <c r="P206">
        <v>47108.068500000001</v>
      </c>
      <c r="Q206">
        <v>122298</v>
      </c>
      <c r="R206">
        <f>(Granger_Inventory[[#This Row],[ln_acres]]*Granger_Inventory[[#This Row],[coeff]])+Granger_Inventory[[#This Row],[const]]</f>
        <v>41517.1581857532</v>
      </c>
      <c r="S206" t="s">
        <v>69</v>
      </c>
      <c r="T206">
        <v>1</v>
      </c>
      <c r="U206" t="s">
        <v>71</v>
      </c>
      <c r="V206" t="s">
        <v>70</v>
      </c>
      <c r="W206">
        <v>0</v>
      </c>
      <c r="X206">
        <v>0</v>
      </c>
      <c r="Y206">
        <v>53</v>
      </c>
      <c r="Z206">
        <v>93</v>
      </c>
      <c r="AA206">
        <v>100</v>
      </c>
      <c r="AB206">
        <v>1500</v>
      </c>
      <c r="AC206">
        <v>1497</v>
      </c>
      <c r="AD206">
        <v>1497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160</v>
      </c>
      <c r="AO206">
        <v>0</v>
      </c>
      <c r="AP206">
        <v>8</v>
      </c>
      <c r="AQ206">
        <v>0</v>
      </c>
      <c r="AR206">
        <v>0</v>
      </c>
      <c r="AS206" t="s">
        <v>59</v>
      </c>
      <c r="AT206">
        <v>1</v>
      </c>
      <c r="AU206" t="s">
        <v>60</v>
      </c>
      <c r="AV206" t="s">
        <v>65</v>
      </c>
      <c r="AW206">
        <v>1</v>
      </c>
      <c r="AX206">
        <v>5</v>
      </c>
      <c r="AY206">
        <v>0</v>
      </c>
      <c r="AZ206">
        <v>0</v>
      </c>
      <c r="BA206">
        <v>100</v>
      </c>
      <c r="BB206">
        <v>100</v>
      </c>
      <c r="BC206">
        <v>100</v>
      </c>
      <c r="BD206">
        <v>100</v>
      </c>
      <c r="BE206">
        <v>1</v>
      </c>
      <c r="BF206">
        <v>15000</v>
      </c>
      <c r="BG206">
        <v>1000</v>
      </c>
      <c r="BH206" s="8">
        <f>Granger_Inventory[[#This Row],[land_extract]]*Lookups!$B$3</f>
        <v>24733.049859725303</v>
      </c>
      <c r="BI206" s="8">
        <f>IF(Granger_Inventory[[#This Row],[bldg_style]]="",0,Lookups!$B$2)</f>
        <v>29703.559000000001</v>
      </c>
      <c r="BJ206" s="8">
        <f>_xlfn.IFNA(VLOOKUP(Granger_Inventory[[#This Row],[quality]],Lookups!$H$2:$J$14,3,FALSE),0)</f>
        <v>34195</v>
      </c>
      <c r="BK206" s="8">
        <f>_xlfn.IFNA(VLOOKUP(Granger_Inventory[[#This Row],[condition]],Lookups!$H$17:$J$24,3,FALSE),0)</f>
        <v>80695</v>
      </c>
      <c r="BL206" s="8">
        <f>Granger_Inventory[[#This Row],[Age]]*Lookups!$B$16</f>
        <v>-19281.792300000001</v>
      </c>
      <c r="BM206" s="8">
        <f>Granger_Inventory[[#This Row],[living_area]]*Lookups!$B$17</f>
        <v>100707.544773</v>
      </c>
      <c r="BN206" s="8">
        <f>(Granger_Inventory[[#This Row],[att_gar]]+Granger_Inventory[[#This Row],[blt_gar]])*Lookups!$B$18</f>
        <v>0</v>
      </c>
      <c r="BO206" s="8">
        <f>Granger_Inventory[[#This Row],[Patio]]*Lookups!$B$19</f>
        <v>0</v>
      </c>
      <c r="BP206" s="8">
        <f>SUM(Granger_Inventory[[#This Row],[Intercept]:[Patio_Value]])*Granger_Inventory[[#This Row],[res_pct]]</f>
        <v>226019.31147300001</v>
      </c>
      <c r="BQ206" s="8">
        <f>Granger_Inventory[[#This Row],[land_value]]</f>
        <v>24733.049859725303</v>
      </c>
      <c r="BR206" s="4">
        <f>_xlfn.IFNA(VLOOKUP(Granger_Inventory[[#This Row],[quality]],Lookups!$A$25:$C$35,3,FALSE),1)</f>
        <v>0.98258795897788032</v>
      </c>
      <c r="BS206" s="4">
        <f>_xlfn.IFNA(VLOOKUP(Granger_Inventory[[#This Row],[condition]],Lookups!$A$38:$C$45,3,FALSE),1)</f>
        <v>0.99484195314749324</v>
      </c>
      <c r="BT206" s="4">
        <f>IF(Granger_Inventory[[#This Row],[decade]]="",1,_xlfn.IFNA(VLOOKUP(Granger_Inventory[[#This Row],[decade]],Lookups!$G$28:$I$42,3,FALSE),1))</f>
        <v>0.879441629375324</v>
      </c>
      <c r="BU206" s="4">
        <f>_xlfn.IFNA(VLOOKUP(Granger_Inventory[[#This Row],[living_area_range]],Lookups!$A$48:$C$57,3,FALSE),1)</f>
        <v>0.97960506760539345</v>
      </c>
      <c r="BV206" s="4">
        <f>AVERAGE(Granger_Inventory[[#This Row],[qual_adj]:[living_range_adj]])</f>
        <v>0.95911915227652278</v>
      </c>
      <c r="BW206" s="8">
        <f>(Granger_Inventory[[#This Row],[sum_land]]-IF(Granger_Inventory[[#This Row],[no_utilities]]=1,12000,0))/IF(Granger_Inventory[[#This Row],[unbuildable]]=1,2,1)</f>
        <v>24733.049859725303</v>
      </c>
      <c r="BX206" s="8">
        <f>Granger_Inventory[[#This Row],[pre_res]]*Granger_Inventory[[#This Row],[overall_adj]]</f>
        <v>216779.45041810712</v>
      </c>
      <c r="BY20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206">
        <f>ROUND(Granger_Inventory[[#This Row],[detatched_value]]*Lookups!$I$45,-2)</f>
        <v>0</v>
      </c>
      <c r="CA206">
        <f>IF(ROUND(Granger_Inventory[[#This Row],[adj_res]]*Lookups!$I$45,-2)&lt;Granger_Inventory[[#This Row],[min_res]],Granger_Inventory[[#This Row],[min_res]],ROUND(Granger_Inventory[[#This Row],[adj_res]]*Lookups!$I$45,-2))</f>
        <v>205900</v>
      </c>
      <c r="CB206">
        <f>Granger_Inventory[[#This Row],[final_det]]+Granger_Inventory[[#This Row],[final_res]]</f>
        <v>205900</v>
      </c>
      <c r="CC206">
        <f>Granger_Inventory[[#This Row],[final_land]]+Granger_Inventory[[#This Row],[final_imp]]+Granger_Inventory[[#This Row],[crop_value]]</f>
        <v>229400</v>
      </c>
      <c r="CE206" t="str">
        <f t="shared" si="3"/>
        <v>update valuation set market_land =23500, market_bldg=205900, market_total =229400, market_mdno =402, market_date ='9/10/2023' where link_id = (select link_id from parcel where parcel_year = '2024' and parcel_id = '21101643418');</v>
      </c>
    </row>
    <row r="207" spans="1:83" x14ac:dyDescent="0.25">
      <c r="A207">
        <v>21101643419</v>
      </c>
      <c r="B207">
        <v>0.15</v>
      </c>
      <c r="C207">
        <v>6318</v>
      </c>
      <c r="D207" t="s">
        <v>137</v>
      </c>
      <c r="E207" t="s">
        <v>54</v>
      </c>
      <c r="F207" t="s">
        <v>54</v>
      </c>
      <c r="G207">
        <v>3</v>
      </c>
      <c r="H207" t="s">
        <v>55</v>
      </c>
      <c r="I207">
        <v>156800</v>
      </c>
      <c r="J207">
        <v>24600</v>
      </c>
      <c r="K207">
        <v>0.15</v>
      </c>
      <c r="L20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07">
        <v>0</v>
      </c>
      <c r="N207">
        <v>0</v>
      </c>
      <c r="O207">
        <v>0</v>
      </c>
      <c r="P207">
        <v>47108.068500000001</v>
      </c>
      <c r="Q207">
        <v>122298</v>
      </c>
      <c r="R207">
        <f>(Granger_Inventory[[#This Row],[ln_acres]]*Granger_Inventory[[#This Row],[coeff]])+Granger_Inventory[[#This Row],[const]]</f>
        <v>32928.341799276939</v>
      </c>
      <c r="S207" t="s">
        <v>56</v>
      </c>
      <c r="T207">
        <v>1</v>
      </c>
      <c r="U207" t="s">
        <v>64</v>
      </c>
      <c r="V207" t="s">
        <v>77</v>
      </c>
      <c r="W207">
        <v>0</v>
      </c>
      <c r="X207">
        <v>0</v>
      </c>
      <c r="Y207">
        <v>46</v>
      </c>
      <c r="Z207">
        <v>53</v>
      </c>
      <c r="AA207">
        <v>60</v>
      </c>
      <c r="AB207">
        <v>2000</v>
      </c>
      <c r="AC207">
        <v>1834</v>
      </c>
      <c r="AD207">
        <v>1834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126</v>
      </c>
      <c r="AO207">
        <v>0</v>
      </c>
      <c r="AP207">
        <v>5</v>
      </c>
      <c r="AQ207">
        <v>1</v>
      </c>
      <c r="AR207">
        <v>1</v>
      </c>
      <c r="AS207" t="s">
        <v>59</v>
      </c>
      <c r="AT207">
        <v>1</v>
      </c>
      <c r="AU207" t="s">
        <v>60</v>
      </c>
      <c r="AV207" t="s">
        <v>61</v>
      </c>
      <c r="AW207">
        <v>0</v>
      </c>
      <c r="AX207">
        <v>3</v>
      </c>
      <c r="AY207">
        <v>0</v>
      </c>
      <c r="AZ207">
        <v>0</v>
      </c>
      <c r="BA207">
        <v>100</v>
      </c>
      <c r="BB207">
        <v>100</v>
      </c>
      <c r="BC207">
        <v>100</v>
      </c>
      <c r="BD207">
        <v>100</v>
      </c>
      <c r="BE207">
        <v>1</v>
      </c>
      <c r="BF207">
        <v>15000</v>
      </c>
      <c r="BG207">
        <v>1000</v>
      </c>
      <c r="BH207" s="8">
        <f>Granger_Inventory[[#This Row],[land_extract]]*Lookups!$B$3</f>
        <v>19616.42740275669</v>
      </c>
      <c r="BI207" s="8">
        <f>IF(Granger_Inventory[[#This Row],[bldg_style]]="",0,Lookups!$B$2)</f>
        <v>29703.559000000001</v>
      </c>
      <c r="BJ207" s="8">
        <f>_xlfn.IFNA(VLOOKUP(Granger_Inventory[[#This Row],[quality]],Lookups!$H$2:$J$14,3,FALSE),0)</f>
        <v>36568</v>
      </c>
      <c r="BK207" s="8">
        <f>_xlfn.IFNA(VLOOKUP(Granger_Inventory[[#This Row],[condition]],Lookups!$H$17:$J$24,3,FALSE),0)</f>
        <v>33736</v>
      </c>
      <c r="BL207" s="8">
        <f>Granger_Inventory[[#This Row],[Age]]*Lookups!$B$16</f>
        <v>-10988.5483</v>
      </c>
      <c r="BM207" s="8">
        <f>Granger_Inventory[[#This Row],[living_area]]*Lookups!$B$17</f>
        <v>123378.51510599999</v>
      </c>
      <c r="BN207" s="8">
        <f>(Granger_Inventory[[#This Row],[att_gar]]+Granger_Inventory[[#This Row],[blt_gar]])*Lookups!$B$18</f>
        <v>0</v>
      </c>
      <c r="BO207" s="8">
        <f>Granger_Inventory[[#This Row],[Patio]]*Lookups!$B$19</f>
        <v>0</v>
      </c>
      <c r="BP207" s="8">
        <f>SUM(Granger_Inventory[[#This Row],[Intercept]:[Patio_Value]])*Granger_Inventory[[#This Row],[res_pct]]</f>
        <v>212397.52580599999</v>
      </c>
      <c r="BQ207" s="8">
        <f>Granger_Inventory[[#This Row],[land_value]]</f>
        <v>19616.42740275669</v>
      </c>
      <c r="BR207" s="4">
        <f>_xlfn.IFNA(VLOOKUP(Granger_Inventory[[#This Row],[quality]],Lookups!$A$25:$C$35,3,FALSE),1)</f>
        <v>0.99049976351917957</v>
      </c>
      <c r="BS207" s="4">
        <f>_xlfn.IFNA(VLOOKUP(Granger_Inventory[[#This Row],[condition]],Lookups!$A$38:$C$45,3,FALSE),1)</f>
        <v>0.92294678898076177</v>
      </c>
      <c r="BT207" s="4">
        <f>IF(Granger_Inventory[[#This Row],[decade]]="",1,_xlfn.IFNA(VLOOKUP(Granger_Inventory[[#This Row],[decade]],Lookups!$G$28:$I$42,3,FALSE),1))</f>
        <v>0.86581421791274704</v>
      </c>
      <c r="BU207" s="4">
        <f>_xlfn.IFNA(VLOOKUP(Granger_Inventory[[#This Row],[living_area_range]],Lookups!$A$48:$C$57,3,FALSE),1)</f>
        <v>0.97860968051050168</v>
      </c>
      <c r="BV207" s="4">
        <f>AVERAGE(Granger_Inventory[[#This Row],[qual_adj]:[living_range_adj]])</f>
        <v>0.93946761273079749</v>
      </c>
      <c r="BW207" s="8">
        <f>(Granger_Inventory[[#This Row],[sum_land]]-IF(Granger_Inventory[[#This Row],[no_utilities]]=1,12000,0))/IF(Granger_Inventory[[#This Row],[unbuildable]]=1,2,1)</f>
        <v>19616.42740275669</v>
      </c>
      <c r="BX207" s="8">
        <f>Granger_Inventory[[#This Row],[pre_res]]*Granger_Inventory[[#This Row],[overall_adj]]</f>
        <v>199540.59651889076</v>
      </c>
      <c r="BY20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07">
        <f>ROUND(Granger_Inventory[[#This Row],[detatched_value]]*Lookups!$I$45,-2)</f>
        <v>0</v>
      </c>
      <c r="CA207">
        <f>IF(ROUND(Granger_Inventory[[#This Row],[adj_res]]*Lookups!$I$45,-2)&lt;Granger_Inventory[[#This Row],[min_res]],Granger_Inventory[[#This Row],[min_res]],ROUND(Granger_Inventory[[#This Row],[adj_res]]*Lookups!$I$45,-2))</f>
        <v>189600</v>
      </c>
      <c r="CB207">
        <f>Granger_Inventory[[#This Row],[final_det]]+Granger_Inventory[[#This Row],[final_res]]</f>
        <v>189600</v>
      </c>
      <c r="CC207">
        <f>Granger_Inventory[[#This Row],[final_land]]+Granger_Inventory[[#This Row],[final_imp]]+Granger_Inventory[[#This Row],[crop_value]]</f>
        <v>208200</v>
      </c>
      <c r="CE207" t="str">
        <f t="shared" si="3"/>
        <v>update valuation set market_land =18600, market_bldg=189600, market_total =208200, market_mdno =402, market_date ='9/10/2023' where link_id = (select link_id from parcel where parcel_year = '2024' and parcel_id = '21101643419');</v>
      </c>
    </row>
    <row r="208" spans="1:83" x14ac:dyDescent="0.25">
      <c r="A208">
        <v>21101643421</v>
      </c>
      <c r="B208">
        <v>0.35</v>
      </c>
      <c r="C208">
        <v>15456</v>
      </c>
      <c r="D208" t="s">
        <v>137</v>
      </c>
      <c r="E208" t="s">
        <v>54</v>
      </c>
      <c r="F208" t="s">
        <v>54</v>
      </c>
      <c r="G208">
        <v>3</v>
      </c>
      <c r="H208" t="s">
        <v>55</v>
      </c>
      <c r="I208">
        <v>49100</v>
      </c>
      <c r="J208">
        <v>29300</v>
      </c>
      <c r="K208">
        <v>0.35</v>
      </c>
      <c r="L208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208">
        <v>0</v>
      </c>
      <c r="N208">
        <v>0</v>
      </c>
      <c r="O208">
        <v>0</v>
      </c>
      <c r="P208">
        <v>47108.068500000001</v>
      </c>
      <c r="Q208">
        <v>122298</v>
      </c>
      <c r="R208">
        <f>(Granger_Inventory[[#This Row],[ln_acres]]*Granger_Inventory[[#This Row],[coeff]])+Granger_Inventory[[#This Row],[const]]</f>
        <v>72842.907446300756</v>
      </c>
      <c r="S208" t="s">
        <v>69</v>
      </c>
      <c r="T208">
        <v>1</v>
      </c>
      <c r="U208" t="s">
        <v>78</v>
      </c>
      <c r="V208" t="s">
        <v>77</v>
      </c>
      <c r="W208">
        <v>0</v>
      </c>
      <c r="X208">
        <v>0</v>
      </c>
      <c r="Y208">
        <v>53</v>
      </c>
      <c r="Z208">
        <v>92</v>
      </c>
      <c r="AA208">
        <v>100</v>
      </c>
      <c r="AB208">
        <v>1000</v>
      </c>
      <c r="AC208">
        <v>824</v>
      </c>
      <c r="AD208">
        <v>824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5</v>
      </c>
      <c r="AQ208">
        <v>1</v>
      </c>
      <c r="AR208">
        <v>0</v>
      </c>
      <c r="AS208" t="s">
        <v>59</v>
      </c>
      <c r="AT208">
        <v>1</v>
      </c>
      <c r="AU208" t="s">
        <v>76</v>
      </c>
      <c r="AV208" t="s">
        <v>65</v>
      </c>
      <c r="AW208">
        <v>0</v>
      </c>
      <c r="AX208">
        <v>2</v>
      </c>
      <c r="AY208">
        <v>0</v>
      </c>
      <c r="AZ208">
        <v>0</v>
      </c>
      <c r="BA208">
        <v>100</v>
      </c>
      <c r="BB208">
        <v>100</v>
      </c>
      <c r="BC208">
        <v>100</v>
      </c>
      <c r="BD208">
        <v>100</v>
      </c>
      <c r="BE208">
        <v>1</v>
      </c>
      <c r="BF208">
        <v>15000</v>
      </c>
      <c r="BG208">
        <v>1000</v>
      </c>
      <c r="BH208" s="8">
        <f>Granger_Inventory[[#This Row],[land_extract]]*Lookups!$B$3</f>
        <v>43394.763527310708</v>
      </c>
      <c r="BI208" s="8">
        <f>IF(Granger_Inventory[[#This Row],[bldg_style]]="",0,Lookups!$B$2)</f>
        <v>29703.559000000001</v>
      </c>
      <c r="BJ208" s="8">
        <f>_xlfn.IFNA(VLOOKUP(Granger_Inventory[[#This Row],[quality]],Lookups!$H$2:$J$14,3,FALSE),0)</f>
        <v>23737.786340274597</v>
      </c>
      <c r="BK208" s="8">
        <f>_xlfn.IFNA(VLOOKUP(Granger_Inventory[[#This Row],[condition]],Lookups!$H$17:$J$24,3,FALSE),0)</f>
        <v>33736</v>
      </c>
      <c r="BL208" s="8">
        <f>Granger_Inventory[[#This Row],[Age]]*Lookups!$B$16</f>
        <v>-19074.461199999998</v>
      </c>
      <c r="BM208" s="8">
        <f>Granger_Inventory[[#This Row],[living_area]]*Lookups!$B$17</f>
        <v>55432.877015999999</v>
      </c>
      <c r="BN208" s="8">
        <f>(Granger_Inventory[[#This Row],[att_gar]]+Granger_Inventory[[#This Row],[blt_gar]])*Lookups!$B$18</f>
        <v>0</v>
      </c>
      <c r="BO208" s="8">
        <f>Granger_Inventory[[#This Row],[Patio]]*Lookups!$B$19</f>
        <v>0</v>
      </c>
      <c r="BP208" s="8">
        <f>SUM(Granger_Inventory[[#This Row],[Intercept]:[Patio_Value]])*Granger_Inventory[[#This Row],[res_pct]]</f>
        <v>123535.7611562746</v>
      </c>
      <c r="BQ208" s="8">
        <f>Granger_Inventory[[#This Row],[land_value]]</f>
        <v>43394.763527310708</v>
      </c>
      <c r="BR208" s="4">
        <f>_xlfn.IFNA(VLOOKUP(Granger_Inventory[[#This Row],[quality]],Lookups!$A$25:$C$35,3,FALSE),1)</f>
        <v>0.77695375541795109</v>
      </c>
      <c r="BS208" s="4">
        <f>_xlfn.IFNA(VLOOKUP(Granger_Inventory[[#This Row],[condition]],Lookups!$A$38:$C$45,3,FALSE),1)</f>
        <v>0.92294678898076177</v>
      </c>
      <c r="BT208" s="4">
        <f>IF(Granger_Inventory[[#This Row],[decade]]="",1,_xlfn.IFNA(VLOOKUP(Granger_Inventory[[#This Row],[decade]],Lookups!$G$28:$I$42,3,FALSE),1))</f>
        <v>0.879441629375324</v>
      </c>
      <c r="BU208" s="4">
        <f>_xlfn.IFNA(VLOOKUP(Granger_Inventory[[#This Row],[living_area_range]],Lookups!$A$48:$C$57,3,FALSE),1)</f>
        <v>0.81272404900450645</v>
      </c>
      <c r="BV208" s="4">
        <f>AVERAGE(Granger_Inventory[[#This Row],[qual_adj]:[living_range_adj]])</f>
        <v>0.84801655569463574</v>
      </c>
      <c r="BW208" s="8">
        <f>(Granger_Inventory[[#This Row],[sum_land]]-IF(Granger_Inventory[[#This Row],[no_utilities]]=1,12000,0))/IF(Granger_Inventory[[#This Row],[unbuildable]]=1,2,1)</f>
        <v>43394.763527310708</v>
      </c>
      <c r="BX208" s="8">
        <f>Granger_Inventory[[#This Row],[pre_res]]*Granger_Inventory[[#This Row],[overall_adj]]</f>
        <v>104760.37068085917</v>
      </c>
      <c r="BY208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208">
        <f>ROUND(Granger_Inventory[[#This Row],[detatched_value]]*Lookups!$I$45,-2)</f>
        <v>0</v>
      </c>
      <c r="CA208">
        <f>IF(ROUND(Granger_Inventory[[#This Row],[adj_res]]*Lookups!$I$45,-2)&lt;Granger_Inventory[[#This Row],[min_res]],Granger_Inventory[[#This Row],[min_res]],ROUND(Granger_Inventory[[#This Row],[adj_res]]*Lookups!$I$45,-2))</f>
        <v>99500</v>
      </c>
      <c r="CB208">
        <f>Granger_Inventory[[#This Row],[final_det]]+Granger_Inventory[[#This Row],[final_res]]</f>
        <v>99500</v>
      </c>
      <c r="CC208">
        <f>Granger_Inventory[[#This Row],[final_land]]+Granger_Inventory[[#This Row],[final_imp]]+Granger_Inventory[[#This Row],[crop_value]]</f>
        <v>140700</v>
      </c>
      <c r="CE208" t="str">
        <f t="shared" si="3"/>
        <v>update valuation set market_land =41200, market_bldg=99500, market_total =140700, market_mdno =402, market_date ='9/10/2023' where link_id = (select link_id from parcel where parcel_year = '2024' and parcel_id = '21101643421');</v>
      </c>
    </row>
    <row r="209" spans="1:83" x14ac:dyDescent="0.25">
      <c r="A209">
        <v>21101643433</v>
      </c>
      <c r="B209">
        <v>0.23</v>
      </c>
      <c r="C209">
        <v>9921</v>
      </c>
      <c r="D209" t="s">
        <v>137</v>
      </c>
      <c r="E209" t="s">
        <v>54</v>
      </c>
      <c r="F209" t="s">
        <v>54</v>
      </c>
      <c r="G209">
        <v>3</v>
      </c>
      <c r="H209" t="s">
        <v>55</v>
      </c>
      <c r="I209">
        <v>128600</v>
      </c>
      <c r="J209">
        <v>27000</v>
      </c>
      <c r="K209">
        <v>0.23</v>
      </c>
      <c r="L209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09">
        <v>0</v>
      </c>
      <c r="N209">
        <v>0</v>
      </c>
      <c r="O209">
        <v>0</v>
      </c>
      <c r="P209">
        <v>47108.068500000001</v>
      </c>
      <c r="Q209">
        <v>122298</v>
      </c>
      <c r="R209">
        <f>(Granger_Inventory[[#This Row],[ln_acres]]*Granger_Inventory[[#This Row],[coeff]])+Granger_Inventory[[#This Row],[const]]</f>
        <v>53064.403729659418</v>
      </c>
      <c r="S209" t="s">
        <v>69</v>
      </c>
      <c r="T209">
        <v>1</v>
      </c>
      <c r="U209" t="s">
        <v>78</v>
      </c>
      <c r="V209" t="s">
        <v>77</v>
      </c>
      <c r="W209">
        <v>0</v>
      </c>
      <c r="X209">
        <v>0</v>
      </c>
      <c r="Y209">
        <v>51</v>
      </c>
      <c r="Z209">
        <v>78</v>
      </c>
      <c r="AA209">
        <v>80</v>
      </c>
      <c r="AB209">
        <v>2000</v>
      </c>
      <c r="AC209">
        <v>1792</v>
      </c>
      <c r="AD209">
        <v>1792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200</v>
      </c>
      <c r="AN209">
        <v>40</v>
      </c>
      <c r="AO209">
        <v>200</v>
      </c>
      <c r="AP209">
        <v>5</v>
      </c>
      <c r="AQ209">
        <v>1</v>
      </c>
      <c r="AR209">
        <v>0</v>
      </c>
      <c r="AS209" t="s">
        <v>59</v>
      </c>
      <c r="AT209">
        <v>1</v>
      </c>
      <c r="AU209" t="s">
        <v>68</v>
      </c>
      <c r="AV209" t="s">
        <v>65</v>
      </c>
      <c r="AW209">
        <v>0</v>
      </c>
      <c r="AX209">
        <v>3</v>
      </c>
      <c r="AY209">
        <v>0</v>
      </c>
      <c r="AZ209">
        <v>0</v>
      </c>
      <c r="BA209">
        <v>100</v>
      </c>
      <c r="BB209">
        <v>100</v>
      </c>
      <c r="BC209">
        <v>100</v>
      </c>
      <c r="BD209">
        <v>100</v>
      </c>
      <c r="BE209">
        <v>1</v>
      </c>
      <c r="BF209">
        <v>15000</v>
      </c>
      <c r="BG209">
        <v>1000</v>
      </c>
      <c r="BH209" s="8">
        <f>Granger_Inventory[[#This Row],[land_extract]]*Lookups!$B$3</f>
        <v>31612.09968539299</v>
      </c>
      <c r="BI209" s="8">
        <f>IF(Granger_Inventory[[#This Row],[bldg_style]]="",0,Lookups!$B$2)</f>
        <v>29703.559000000001</v>
      </c>
      <c r="BJ209" s="8">
        <f>_xlfn.IFNA(VLOOKUP(Granger_Inventory[[#This Row],[quality]],Lookups!$H$2:$J$14,3,FALSE),0)</f>
        <v>23737.786340274597</v>
      </c>
      <c r="BK209" s="8">
        <f>_xlfn.IFNA(VLOOKUP(Granger_Inventory[[#This Row],[condition]],Lookups!$H$17:$J$24,3,FALSE),0)</f>
        <v>33736</v>
      </c>
      <c r="BL209" s="8">
        <f>Granger_Inventory[[#This Row],[Age]]*Lookups!$B$16</f>
        <v>-16171.825799999999</v>
      </c>
      <c r="BM209" s="8">
        <f>Granger_Inventory[[#This Row],[living_area]]*Lookups!$B$17</f>
        <v>120553.05292799999</v>
      </c>
      <c r="BN209" s="8">
        <f>(Granger_Inventory[[#This Row],[att_gar]]+Granger_Inventory[[#This Row],[blt_gar]])*Lookups!$B$18</f>
        <v>0</v>
      </c>
      <c r="BO209" s="8">
        <f>Granger_Inventory[[#This Row],[Patio]]*Lookups!$B$19</f>
        <v>10863.019199999999</v>
      </c>
      <c r="BP209" s="8">
        <f>SUM(Granger_Inventory[[#This Row],[Intercept]:[Patio_Value]])*Granger_Inventory[[#This Row],[res_pct]]</f>
        <v>202421.5916682746</v>
      </c>
      <c r="BQ209" s="8">
        <f>Granger_Inventory[[#This Row],[land_value]]</f>
        <v>31612.09968539299</v>
      </c>
      <c r="BR209" s="4">
        <f>_xlfn.IFNA(VLOOKUP(Granger_Inventory[[#This Row],[quality]],Lookups!$A$25:$C$35,3,FALSE),1)</f>
        <v>0.77695375541795109</v>
      </c>
      <c r="BS209" s="4">
        <f>_xlfn.IFNA(VLOOKUP(Granger_Inventory[[#This Row],[condition]],Lookups!$A$38:$C$45,3,FALSE),1)</f>
        <v>0.92294678898076177</v>
      </c>
      <c r="BT209" s="4">
        <f>IF(Granger_Inventory[[#This Row],[decade]]="",1,_xlfn.IFNA(VLOOKUP(Granger_Inventory[[#This Row],[decade]],Lookups!$G$28:$I$42,3,FALSE),1))</f>
        <v>0.76006056002554967</v>
      </c>
      <c r="BU209" s="4">
        <f>_xlfn.IFNA(VLOOKUP(Granger_Inventory[[#This Row],[living_area_range]],Lookups!$A$48:$C$57,3,FALSE),1)</f>
        <v>0.97860968051050168</v>
      </c>
      <c r="BV209" s="4">
        <f>AVERAGE(Granger_Inventory[[#This Row],[qual_adj]:[living_range_adj]])</f>
        <v>0.85964269623369105</v>
      </c>
      <c r="BW209" s="8">
        <f>(Granger_Inventory[[#This Row],[sum_land]]-IF(Granger_Inventory[[#This Row],[no_utilities]]=1,12000,0))/IF(Granger_Inventory[[#This Row],[unbuildable]]=1,2,1)</f>
        <v>31612.09968539299</v>
      </c>
      <c r="BX209" s="8">
        <f>Granger_Inventory[[#This Row],[pre_res]]*Granger_Inventory[[#This Row],[overall_adj]]</f>
        <v>174010.24283763082</v>
      </c>
      <c r="BY209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09">
        <f>ROUND(Granger_Inventory[[#This Row],[detatched_value]]*Lookups!$I$45,-2)</f>
        <v>0</v>
      </c>
      <c r="CA209">
        <f>IF(ROUND(Granger_Inventory[[#This Row],[adj_res]]*Lookups!$I$45,-2)&lt;Granger_Inventory[[#This Row],[min_res]],Granger_Inventory[[#This Row],[min_res]],ROUND(Granger_Inventory[[#This Row],[adj_res]]*Lookups!$I$45,-2))</f>
        <v>165300</v>
      </c>
      <c r="CB209">
        <f>Granger_Inventory[[#This Row],[final_det]]+Granger_Inventory[[#This Row],[final_res]]</f>
        <v>165300</v>
      </c>
      <c r="CC209">
        <f>Granger_Inventory[[#This Row],[final_land]]+Granger_Inventory[[#This Row],[final_imp]]+Granger_Inventory[[#This Row],[crop_value]]</f>
        <v>195300</v>
      </c>
      <c r="CE209" t="str">
        <f t="shared" si="3"/>
        <v>update valuation set market_land =30000, market_bldg=165300, market_total =195300, market_mdno =402, market_date ='9/10/2023' where link_id = (select link_id from parcel where parcel_year = '2024' and parcel_id = '21101643433');</v>
      </c>
    </row>
    <row r="210" spans="1:83" x14ac:dyDescent="0.25">
      <c r="A210">
        <v>21101643442</v>
      </c>
      <c r="B210">
        <v>0.5</v>
      </c>
      <c r="C210" t="s">
        <v>137</v>
      </c>
      <c r="D210" t="s">
        <v>137</v>
      </c>
      <c r="E210" t="s">
        <v>54</v>
      </c>
      <c r="F210" t="s">
        <v>54</v>
      </c>
      <c r="G210">
        <v>3</v>
      </c>
      <c r="H210" t="s">
        <v>55</v>
      </c>
      <c r="I210" t="s">
        <v>137</v>
      </c>
      <c r="J210" t="s">
        <v>137</v>
      </c>
      <c r="K210">
        <v>0.5</v>
      </c>
      <c r="L210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210">
        <v>0</v>
      </c>
      <c r="N210">
        <v>0</v>
      </c>
      <c r="O210">
        <v>0</v>
      </c>
      <c r="P210">
        <v>47108.068500000001</v>
      </c>
      <c r="Q210">
        <v>122298</v>
      </c>
      <c r="R210">
        <f>(Granger_Inventory[[#This Row],[ln_acres]]*Granger_Inventory[[#This Row],[coeff]])+Granger_Inventory[[#This Row],[const]]</f>
        <v>89645.175137600221</v>
      </c>
      <c r="S210" t="s">
        <v>69</v>
      </c>
      <c r="T210">
        <v>1</v>
      </c>
      <c r="U210" t="s">
        <v>71</v>
      </c>
      <c r="V210" t="s">
        <v>77</v>
      </c>
      <c r="W210">
        <v>0</v>
      </c>
      <c r="X210">
        <v>0</v>
      </c>
      <c r="Y210">
        <v>44</v>
      </c>
      <c r="Z210">
        <v>48</v>
      </c>
      <c r="AA210">
        <v>50</v>
      </c>
      <c r="AB210">
        <v>1000</v>
      </c>
      <c r="AC210">
        <v>994</v>
      </c>
      <c r="AD210">
        <v>994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247</v>
      </c>
      <c r="AN210">
        <v>0</v>
      </c>
      <c r="AO210">
        <v>63</v>
      </c>
      <c r="AP210">
        <v>7</v>
      </c>
      <c r="AQ210">
        <v>0</v>
      </c>
      <c r="AR210">
        <v>0</v>
      </c>
      <c r="AS210" t="s">
        <v>59</v>
      </c>
      <c r="AT210">
        <v>1</v>
      </c>
      <c r="AU210" t="s">
        <v>68</v>
      </c>
      <c r="AV210" t="s">
        <v>65</v>
      </c>
      <c r="AW210">
        <v>0</v>
      </c>
      <c r="AX210">
        <v>2</v>
      </c>
      <c r="AY210">
        <v>0</v>
      </c>
      <c r="AZ210">
        <v>22600</v>
      </c>
      <c r="BA210">
        <v>100</v>
      </c>
      <c r="BB210">
        <v>100</v>
      </c>
      <c r="BC210">
        <v>100</v>
      </c>
      <c r="BD210">
        <v>100</v>
      </c>
      <c r="BE210">
        <v>1</v>
      </c>
      <c r="BF210">
        <v>15000</v>
      </c>
      <c r="BG210">
        <v>1000</v>
      </c>
      <c r="BH210" s="8">
        <f>Granger_Inventory[[#This Row],[land_extract]]*Lookups!$B$3</f>
        <v>53404.391900862691</v>
      </c>
      <c r="BI210" s="8">
        <f>IF(Granger_Inventory[[#This Row],[bldg_style]]="",0,Lookups!$B$2)</f>
        <v>29703.559000000001</v>
      </c>
      <c r="BJ210" s="8">
        <f>_xlfn.IFNA(VLOOKUP(Granger_Inventory[[#This Row],[quality]],Lookups!$H$2:$J$14,3,FALSE),0)</f>
        <v>34195</v>
      </c>
      <c r="BK210" s="8">
        <f>_xlfn.IFNA(VLOOKUP(Granger_Inventory[[#This Row],[condition]],Lookups!$H$17:$J$24,3,FALSE),0)</f>
        <v>33736</v>
      </c>
      <c r="BL210" s="8">
        <f>Granger_Inventory[[#This Row],[Age]]*Lookups!$B$16</f>
        <v>-9951.8927999999996</v>
      </c>
      <c r="BM210" s="8">
        <f>Granger_Inventory[[#This Row],[living_area]]*Lookups!$B$17</f>
        <v>66869.271546000004</v>
      </c>
      <c r="BN210" s="8">
        <f>(Granger_Inventory[[#This Row],[att_gar]]+Granger_Inventory[[#This Row],[blt_gar]])*Lookups!$B$18</f>
        <v>0</v>
      </c>
      <c r="BO210" s="8">
        <f>Granger_Inventory[[#This Row],[Patio]]*Lookups!$B$19</f>
        <v>13415.828711999999</v>
      </c>
      <c r="BP210" s="8">
        <f>SUM(Granger_Inventory[[#This Row],[Intercept]:[Patio_Value]])*Granger_Inventory[[#This Row],[res_pct]]</f>
        <v>167967.766458</v>
      </c>
      <c r="BQ210" s="8">
        <f>Granger_Inventory[[#This Row],[land_value]]</f>
        <v>53404.391900862691</v>
      </c>
      <c r="BR210" s="4">
        <f>_xlfn.IFNA(VLOOKUP(Granger_Inventory[[#This Row],[quality]],Lookups!$A$25:$C$35,3,FALSE),1)</f>
        <v>0.98258795897788032</v>
      </c>
      <c r="BS210" s="4">
        <f>_xlfn.IFNA(VLOOKUP(Granger_Inventory[[#This Row],[condition]],Lookups!$A$38:$C$45,3,FALSE),1)</f>
        <v>0.92294678898076177</v>
      </c>
      <c r="BT210" s="4">
        <f>IF(Granger_Inventory[[#This Row],[decade]]="",1,_xlfn.IFNA(VLOOKUP(Granger_Inventory[[#This Row],[decade]],Lookups!$G$28:$I$42,3,FALSE),1))</f>
        <v>1.2441094871772171</v>
      </c>
      <c r="BU210" s="4">
        <f>_xlfn.IFNA(VLOOKUP(Granger_Inventory[[#This Row],[living_area_range]],Lookups!$A$48:$C$57,3,FALSE),1)</f>
        <v>0.81272404900450645</v>
      </c>
      <c r="BV210" s="4">
        <f>AVERAGE(Granger_Inventory[[#This Row],[qual_adj]:[living_range_adj]])</f>
        <v>0.99059207103509139</v>
      </c>
      <c r="BW210" s="8">
        <f>(Granger_Inventory[[#This Row],[sum_land]]-IF(Granger_Inventory[[#This Row],[no_utilities]]=1,12000,0))/IF(Granger_Inventory[[#This Row],[unbuildable]]=1,2,1)</f>
        <v>53404.391900862691</v>
      </c>
      <c r="BX210" s="8">
        <f>Granger_Inventory[[#This Row],[pre_res]]*Granger_Inventory[[#This Row],[overall_adj]]</f>
        <v>166387.53764276879</v>
      </c>
      <c r="BY210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210">
        <f>ROUND(Granger_Inventory[[#This Row],[detatched_value]]*Lookups!$I$45,-2)</f>
        <v>21500</v>
      </c>
      <c r="CA210">
        <f>IF(ROUND(Granger_Inventory[[#This Row],[adj_res]]*Lookups!$I$45,-2)&lt;Granger_Inventory[[#This Row],[min_res]],Granger_Inventory[[#This Row],[min_res]],ROUND(Granger_Inventory[[#This Row],[adj_res]]*Lookups!$I$45,-2))</f>
        <v>158100</v>
      </c>
      <c r="CB210">
        <f>Granger_Inventory[[#This Row],[final_det]]+Granger_Inventory[[#This Row],[final_res]]</f>
        <v>179600</v>
      </c>
      <c r="CC210">
        <f>Granger_Inventory[[#This Row],[final_land]]+Granger_Inventory[[#This Row],[final_imp]]+Granger_Inventory[[#This Row],[crop_value]]</f>
        <v>230300</v>
      </c>
      <c r="CE210" t="str">
        <f t="shared" si="3"/>
        <v>update valuation set market_land =50700, market_bldg=179600, market_total =230300, market_mdno =402, market_date ='9/10/2023' where link_id = (select link_id from parcel where parcel_year = '2024' and parcel_id = '21101643442');</v>
      </c>
    </row>
    <row r="211" spans="1:83" x14ac:dyDescent="0.25">
      <c r="A211">
        <v>21101644402</v>
      </c>
      <c r="B211">
        <v>0.19</v>
      </c>
      <c r="C211">
        <v>8299</v>
      </c>
      <c r="D211" t="s">
        <v>137</v>
      </c>
      <c r="E211" t="s">
        <v>54</v>
      </c>
      <c r="F211" t="s">
        <v>54</v>
      </c>
      <c r="G211">
        <v>3</v>
      </c>
      <c r="H211" t="s">
        <v>55</v>
      </c>
      <c r="I211">
        <v>102900</v>
      </c>
      <c r="J211">
        <v>25900</v>
      </c>
      <c r="K211">
        <v>0.19</v>
      </c>
      <c r="L211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11">
        <v>0</v>
      </c>
      <c r="N211">
        <v>0</v>
      </c>
      <c r="O211">
        <v>0</v>
      </c>
      <c r="P211">
        <v>47108.068500000001</v>
      </c>
      <c r="Q211">
        <v>122298</v>
      </c>
      <c r="R211">
        <f>(Granger_Inventory[[#This Row],[ln_acres]]*Granger_Inventory[[#This Row],[coeff]])+Granger_Inventory[[#This Row],[const]]</f>
        <v>44064.160548957996</v>
      </c>
      <c r="S211" t="s">
        <v>69</v>
      </c>
      <c r="T211">
        <v>1</v>
      </c>
      <c r="U211" t="s">
        <v>78</v>
      </c>
      <c r="V211" t="s">
        <v>70</v>
      </c>
      <c r="W211">
        <v>0</v>
      </c>
      <c r="X211">
        <v>0</v>
      </c>
      <c r="Y211">
        <v>38</v>
      </c>
      <c r="Z211">
        <v>92</v>
      </c>
      <c r="AA211">
        <v>100</v>
      </c>
      <c r="AB211">
        <v>1000</v>
      </c>
      <c r="AC211">
        <v>716</v>
      </c>
      <c r="AD211">
        <v>716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15</v>
      </c>
      <c r="AO211">
        <v>0</v>
      </c>
      <c r="AP211">
        <v>5</v>
      </c>
      <c r="AQ211">
        <v>1</v>
      </c>
      <c r="AR211">
        <v>0</v>
      </c>
      <c r="AS211" t="s">
        <v>59</v>
      </c>
      <c r="AT211">
        <v>1</v>
      </c>
      <c r="AU211" t="s">
        <v>68</v>
      </c>
      <c r="AV211" t="s">
        <v>65</v>
      </c>
      <c r="AW211">
        <v>0</v>
      </c>
      <c r="AX211">
        <v>2</v>
      </c>
      <c r="AY211">
        <v>0</v>
      </c>
      <c r="AZ211">
        <v>0</v>
      </c>
      <c r="BA211">
        <v>100</v>
      </c>
      <c r="BB211">
        <v>100</v>
      </c>
      <c r="BC211">
        <v>100</v>
      </c>
      <c r="BD211">
        <v>100</v>
      </c>
      <c r="BE211">
        <v>1</v>
      </c>
      <c r="BF211">
        <v>15000</v>
      </c>
      <c r="BG211">
        <v>1000</v>
      </c>
      <c r="BH211" s="8">
        <f>Granger_Inventory[[#This Row],[land_extract]]*Lookups!$B$3</f>
        <v>26250.377615159185</v>
      </c>
      <c r="BI211" s="8">
        <f>IF(Granger_Inventory[[#This Row],[bldg_style]]="",0,Lookups!$B$2)</f>
        <v>29703.559000000001</v>
      </c>
      <c r="BJ211" s="8">
        <f>_xlfn.IFNA(VLOOKUP(Granger_Inventory[[#This Row],[quality]],Lookups!$H$2:$J$14,3,FALSE),0)</f>
        <v>23737.786340274597</v>
      </c>
      <c r="BK211" s="8">
        <f>_xlfn.IFNA(VLOOKUP(Granger_Inventory[[#This Row],[condition]],Lookups!$H$17:$J$24,3,FALSE),0)</f>
        <v>80695</v>
      </c>
      <c r="BL211" s="8">
        <f>Granger_Inventory[[#This Row],[Age]]*Lookups!$B$16</f>
        <v>-19074.461199999998</v>
      </c>
      <c r="BM211" s="8">
        <f>Granger_Inventory[[#This Row],[living_area]]*Lookups!$B$17</f>
        <v>48167.402843999997</v>
      </c>
      <c r="BN211" s="8">
        <f>(Granger_Inventory[[#This Row],[att_gar]]+Granger_Inventory[[#This Row],[blt_gar]])*Lookups!$B$18</f>
        <v>0</v>
      </c>
      <c r="BO211" s="8">
        <f>Granger_Inventory[[#This Row],[Patio]]*Lookups!$B$19</f>
        <v>0</v>
      </c>
      <c r="BP211" s="8">
        <f>SUM(Granger_Inventory[[#This Row],[Intercept]:[Patio_Value]])*Granger_Inventory[[#This Row],[res_pct]]</f>
        <v>163229.2869842746</v>
      </c>
      <c r="BQ211" s="8">
        <f>Granger_Inventory[[#This Row],[land_value]]</f>
        <v>26250.377615159185</v>
      </c>
      <c r="BR211" s="4">
        <f>_xlfn.IFNA(VLOOKUP(Granger_Inventory[[#This Row],[quality]],Lookups!$A$25:$C$35,3,FALSE),1)</f>
        <v>0.77695375541795109</v>
      </c>
      <c r="BS211" s="4">
        <f>_xlfn.IFNA(VLOOKUP(Granger_Inventory[[#This Row],[condition]],Lookups!$A$38:$C$45,3,FALSE),1)</f>
        <v>0.99484195314749324</v>
      </c>
      <c r="BT211" s="4">
        <f>IF(Granger_Inventory[[#This Row],[decade]]="",1,_xlfn.IFNA(VLOOKUP(Granger_Inventory[[#This Row],[decade]],Lookups!$G$28:$I$42,3,FALSE),1))</f>
        <v>0.879441629375324</v>
      </c>
      <c r="BU211" s="4">
        <f>_xlfn.IFNA(VLOOKUP(Granger_Inventory[[#This Row],[living_area_range]],Lookups!$A$48:$C$57,3,FALSE),1)</f>
        <v>0.81272404900450645</v>
      </c>
      <c r="BV211" s="4">
        <f>AVERAGE(Granger_Inventory[[#This Row],[qual_adj]:[living_range_adj]])</f>
        <v>0.86599034673631869</v>
      </c>
      <c r="BW211" s="8">
        <f>(Granger_Inventory[[#This Row],[sum_land]]-IF(Granger_Inventory[[#This Row],[no_utilities]]=1,12000,0))/IF(Granger_Inventory[[#This Row],[unbuildable]]=1,2,1)</f>
        <v>26250.377615159185</v>
      </c>
      <c r="BX211" s="8">
        <f>Granger_Inventory[[#This Row],[pre_res]]*Granger_Inventory[[#This Row],[overall_adj]]</f>
        <v>141354.98683303403</v>
      </c>
      <c r="BY211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11">
        <f>ROUND(Granger_Inventory[[#This Row],[detatched_value]]*Lookups!$I$45,-2)</f>
        <v>0</v>
      </c>
      <c r="CA211">
        <f>IF(ROUND(Granger_Inventory[[#This Row],[adj_res]]*Lookups!$I$45,-2)&lt;Granger_Inventory[[#This Row],[min_res]],Granger_Inventory[[#This Row],[min_res]],ROUND(Granger_Inventory[[#This Row],[adj_res]]*Lookups!$I$45,-2))</f>
        <v>134300</v>
      </c>
      <c r="CB211">
        <f>Granger_Inventory[[#This Row],[final_det]]+Granger_Inventory[[#This Row],[final_res]]</f>
        <v>134300</v>
      </c>
      <c r="CC211">
        <f>Granger_Inventory[[#This Row],[final_land]]+Granger_Inventory[[#This Row],[final_imp]]+Granger_Inventory[[#This Row],[crop_value]]</f>
        <v>159200</v>
      </c>
      <c r="CE211" t="str">
        <f t="shared" si="3"/>
        <v>update valuation set market_land =24900, market_bldg=134300, market_total =159200, market_mdno =402, market_date ='9/10/2023' where link_id = (select link_id from parcel where parcel_year = '2024' and parcel_id = '21101644402');</v>
      </c>
    </row>
    <row r="212" spans="1:83" x14ac:dyDescent="0.25">
      <c r="A212">
        <v>21101644403</v>
      </c>
      <c r="B212">
        <v>0.18</v>
      </c>
      <c r="C212">
        <v>7946</v>
      </c>
      <c r="D212" t="s">
        <v>137</v>
      </c>
      <c r="E212" t="s">
        <v>54</v>
      </c>
      <c r="F212" t="s">
        <v>54</v>
      </c>
      <c r="G212">
        <v>3</v>
      </c>
      <c r="H212" t="s">
        <v>55</v>
      </c>
      <c r="I212">
        <v>75400</v>
      </c>
      <c r="J212">
        <v>25600</v>
      </c>
      <c r="K212">
        <v>0.18</v>
      </c>
      <c r="L212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212">
        <v>0</v>
      </c>
      <c r="N212">
        <v>0</v>
      </c>
      <c r="O212">
        <v>0</v>
      </c>
      <c r="P212">
        <v>47108.068500000001</v>
      </c>
      <c r="Q212">
        <v>122298</v>
      </c>
      <c r="R212">
        <f>(Granger_Inventory[[#This Row],[ln_acres]]*Granger_Inventory[[#This Row],[coeff]])+Granger_Inventory[[#This Row],[const]]</f>
        <v>41517.1581857532</v>
      </c>
      <c r="S212" t="s">
        <v>69</v>
      </c>
      <c r="T212">
        <v>1</v>
      </c>
      <c r="U212" t="s">
        <v>78</v>
      </c>
      <c r="V212" t="s">
        <v>77</v>
      </c>
      <c r="W212">
        <v>0</v>
      </c>
      <c r="X212">
        <v>0</v>
      </c>
      <c r="Y212">
        <v>51</v>
      </c>
      <c r="Z212">
        <v>78</v>
      </c>
      <c r="AA212">
        <v>80</v>
      </c>
      <c r="AB212">
        <v>1000</v>
      </c>
      <c r="AC212">
        <v>924</v>
      </c>
      <c r="AD212">
        <v>924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64</v>
      </c>
      <c r="AM212">
        <v>0</v>
      </c>
      <c r="AN212">
        <v>0</v>
      </c>
      <c r="AO212">
        <v>64</v>
      </c>
      <c r="AP212">
        <v>5</v>
      </c>
      <c r="AQ212">
        <v>0</v>
      </c>
      <c r="AR212">
        <v>0</v>
      </c>
      <c r="AS212" t="s">
        <v>59</v>
      </c>
      <c r="AT212">
        <v>1</v>
      </c>
      <c r="AU212" t="s">
        <v>76</v>
      </c>
      <c r="AV212" t="s">
        <v>65</v>
      </c>
      <c r="AW212">
        <v>0</v>
      </c>
      <c r="AX212">
        <v>3</v>
      </c>
      <c r="AY212">
        <v>0</v>
      </c>
      <c r="AZ212">
        <v>0</v>
      </c>
      <c r="BA212">
        <v>100</v>
      </c>
      <c r="BB212">
        <v>100</v>
      </c>
      <c r="BC212">
        <v>100</v>
      </c>
      <c r="BD212">
        <v>100</v>
      </c>
      <c r="BE212">
        <v>1</v>
      </c>
      <c r="BF212">
        <v>15000</v>
      </c>
      <c r="BG212">
        <v>1000</v>
      </c>
      <c r="BH212" s="8">
        <f>Granger_Inventory[[#This Row],[land_extract]]*Lookups!$B$3</f>
        <v>24733.049859725303</v>
      </c>
      <c r="BI212" s="8">
        <f>IF(Granger_Inventory[[#This Row],[bldg_style]]="",0,Lookups!$B$2)</f>
        <v>29703.559000000001</v>
      </c>
      <c r="BJ212" s="8">
        <f>_xlfn.IFNA(VLOOKUP(Granger_Inventory[[#This Row],[quality]],Lookups!$H$2:$J$14,3,FALSE),0)</f>
        <v>23737.786340274597</v>
      </c>
      <c r="BK212" s="8">
        <f>_xlfn.IFNA(VLOOKUP(Granger_Inventory[[#This Row],[condition]],Lookups!$H$17:$J$24,3,FALSE),0)</f>
        <v>33736</v>
      </c>
      <c r="BL212" s="8">
        <f>Granger_Inventory[[#This Row],[Age]]*Lookups!$B$16</f>
        <v>-16171.825799999999</v>
      </c>
      <c r="BM212" s="8">
        <f>Granger_Inventory[[#This Row],[living_area]]*Lookups!$B$17</f>
        <v>62160.167915999999</v>
      </c>
      <c r="BN212" s="8">
        <f>(Granger_Inventory[[#This Row],[att_gar]]+Granger_Inventory[[#This Row],[blt_gar]])*Lookups!$B$18</f>
        <v>0</v>
      </c>
      <c r="BO212" s="8">
        <f>Granger_Inventory[[#This Row],[Patio]]*Lookups!$B$19</f>
        <v>0</v>
      </c>
      <c r="BP212" s="8">
        <f>SUM(Granger_Inventory[[#This Row],[Intercept]:[Patio_Value]])*Granger_Inventory[[#This Row],[res_pct]]</f>
        <v>133165.68745627461</v>
      </c>
      <c r="BQ212" s="8">
        <f>Granger_Inventory[[#This Row],[land_value]]</f>
        <v>24733.049859725303</v>
      </c>
      <c r="BR212" s="4">
        <f>_xlfn.IFNA(VLOOKUP(Granger_Inventory[[#This Row],[quality]],Lookups!$A$25:$C$35,3,FALSE),1)</f>
        <v>0.77695375541795109</v>
      </c>
      <c r="BS212" s="4">
        <f>_xlfn.IFNA(VLOOKUP(Granger_Inventory[[#This Row],[condition]],Lookups!$A$38:$C$45,3,FALSE),1)</f>
        <v>0.92294678898076177</v>
      </c>
      <c r="BT212" s="4">
        <f>IF(Granger_Inventory[[#This Row],[decade]]="",1,_xlfn.IFNA(VLOOKUP(Granger_Inventory[[#This Row],[decade]],Lookups!$G$28:$I$42,3,FALSE),1))</f>
        <v>0.76006056002554967</v>
      </c>
      <c r="BU212" s="4">
        <f>_xlfn.IFNA(VLOOKUP(Granger_Inventory[[#This Row],[living_area_range]],Lookups!$A$48:$C$57,3,FALSE),1)</f>
        <v>0.81272404900450645</v>
      </c>
      <c r="BV212" s="4">
        <f>AVERAGE(Granger_Inventory[[#This Row],[qual_adj]:[living_range_adj]])</f>
        <v>0.81817128835719222</v>
      </c>
      <c r="BW212" s="8">
        <f>(Granger_Inventory[[#This Row],[sum_land]]-IF(Granger_Inventory[[#This Row],[no_utilities]]=1,12000,0))/IF(Granger_Inventory[[#This Row],[unbuildable]]=1,2,1)</f>
        <v>24733.049859725303</v>
      </c>
      <c r="BX212" s="8">
        <f>Granger_Inventory[[#This Row],[pre_res]]*Granger_Inventory[[#This Row],[overall_adj]]</f>
        <v>108952.34207107138</v>
      </c>
      <c r="BY212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212">
        <f>ROUND(Granger_Inventory[[#This Row],[detatched_value]]*Lookups!$I$45,-2)</f>
        <v>0</v>
      </c>
      <c r="CA212">
        <f>IF(ROUND(Granger_Inventory[[#This Row],[adj_res]]*Lookups!$I$45,-2)&lt;Granger_Inventory[[#This Row],[min_res]],Granger_Inventory[[#This Row],[min_res]],ROUND(Granger_Inventory[[#This Row],[adj_res]]*Lookups!$I$45,-2))</f>
        <v>103500</v>
      </c>
      <c r="CB212">
        <f>Granger_Inventory[[#This Row],[final_det]]+Granger_Inventory[[#This Row],[final_res]]</f>
        <v>103500</v>
      </c>
      <c r="CC212">
        <f>Granger_Inventory[[#This Row],[final_land]]+Granger_Inventory[[#This Row],[final_imp]]+Granger_Inventory[[#This Row],[crop_value]]</f>
        <v>127000</v>
      </c>
      <c r="CE212" t="str">
        <f t="shared" si="3"/>
        <v>update valuation set market_land =23500, market_bldg=103500, market_total =127000, market_mdno =402, market_date ='9/10/2023' where link_id = (select link_id from parcel where parcel_year = '2024' and parcel_id = '21101644403');</v>
      </c>
    </row>
    <row r="213" spans="1:83" x14ac:dyDescent="0.25">
      <c r="A213">
        <v>21101644408</v>
      </c>
      <c r="B213">
        <v>0.17</v>
      </c>
      <c r="C213">
        <v>7612</v>
      </c>
      <c r="D213" t="s">
        <v>137</v>
      </c>
      <c r="E213" t="s">
        <v>54</v>
      </c>
      <c r="F213" t="s">
        <v>54</v>
      </c>
      <c r="G213">
        <v>3</v>
      </c>
      <c r="H213" t="s">
        <v>55</v>
      </c>
      <c r="I213">
        <v>107000</v>
      </c>
      <c r="J213">
        <v>25300</v>
      </c>
      <c r="K213">
        <v>0.17</v>
      </c>
      <c r="L21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213">
        <v>0</v>
      </c>
      <c r="N213">
        <v>0</v>
      </c>
      <c r="O213">
        <v>0</v>
      </c>
      <c r="P213">
        <v>47108.068500000001</v>
      </c>
      <c r="Q213">
        <v>122298</v>
      </c>
      <c r="R213">
        <f>(Granger_Inventory[[#This Row],[ln_acres]]*Granger_Inventory[[#This Row],[coeff]])+Granger_Inventory[[#This Row],[const]]</f>
        <v>38824.535711229546</v>
      </c>
      <c r="S213" t="s">
        <v>69</v>
      </c>
      <c r="T213">
        <v>1</v>
      </c>
      <c r="U213" t="s">
        <v>71</v>
      </c>
      <c r="V213" t="s">
        <v>79</v>
      </c>
      <c r="W213">
        <v>0</v>
      </c>
      <c r="X213">
        <v>0</v>
      </c>
      <c r="Y213">
        <v>50</v>
      </c>
      <c r="Z213">
        <v>73</v>
      </c>
      <c r="AA213">
        <v>80</v>
      </c>
      <c r="AB213">
        <v>2000</v>
      </c>
      <c r="AC213">
        <v>1528</v>
      </c>
      <c r="AD213">
        <v>1528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8</v>
      </c>
      <c r="AQ213">
        <v>1</v>
      </c>
      <c r="AR213">
        <v>1</v>
      </c>
      <c r="AS213" t="s">
        <v>59</v>
      </c>
      <c r="AT213">
        <v>1</v>
      </c>
      <c r="AU213" t="s">
        <v>60</v>
      </c>
      <c r="AV213" t="s">
        <v>61</v>
      </c>
      <c r="AW213">
        <v>0</v>
      </c>
      <c r="AX213">
        <v>2</v>
      </c>
      <c r="AY213">
        <v>0</v>
      </c>
      <c r="AZ213">
        <v>1300</v>
      </c>
      <c r="BA213">
        <v>100</v>
      </c>
      <c r="BB213">
        <v>100</v>
      </c>
      <c r="BC213">
        <v>100</v>
      </c>
      <c r="BD213">
        <v>100</v>
      </c>
      <c r="BE213">
        <v>1</v>
      </c>
      <c r="BF213">
        <v>15000</v>
      </c>
      <c r="BG213">
        <v>1000</v>
      </c>
      <c r="BH213" s="8">
        <f>Granger_Inventory[[#This Row],[land_extract]]*Lookups!$B$3</f>
        <v>23128.971718879347</v>
      </c>
      <c r="BI213" s="8">
        <f>IF(Granger_Inventory[[#This Row],[bldg_style]]="",0,Lookups!$B$2)</f>
        <v>29703.559000000001</v>
      </c>
      <c r="BJ213" s="8">
        <f>_xlfn.IFNA(VLOOKUP(Granger_Inventory[[#This Row],[quality]],Lookups!$H$2:$J$14,3,FALSE),0)</f>
        <v>34195</v>
      </c>
      <c r="BK213" s="8">
        <f>_xlfn.IFNA(VLOOKUP(Granger_Inventory[[#This Row],[condition]],Lookups!$H$17:$J$24,3,FALSE),0)</f>
        <v>86727</v>
      </c>
      <c r="BL213" s="8">
        <f>Granger_Inventory[[#This Row],[Age]]*Lookups!$B$16</f>
        <v>-15135.1703</v>
      </c>
      <c r="BM213" s="8">
        <f>Granger_Inventory[[#This Row],[living_area]]*Lookups!$B$17</f>
        <v>102793.004952</v>
      </c>
      <c r="BN213" s="8">
        <f>(Granger_Inventory[[#This Row],[att_gar]]+Granger_Inventory[[#This Row],[blt_gar]])*Lookups!$B$18</f>
        <v>0</v>
      </c>
      <c r="BO213" s="8">
        <f>Granger_Inventory[[#This Row],[Patio]]*Lookups!$B$19</f>
        <v>0</v>
      </c>
      <c r="BP213" s="8">
        <f>SUM(Granger_Inventory[[#This Row],[Intercept]:[Patio_Value]])*Granger_Inventory[[#This Row],[res_pct]]</f>
        <v>238283.393652</v>
      </c>
      <c r="BQ213" s="8">
        <f>Granger_Inventory[[#This Row],[land_value]]</f>
        <v>23128.971718879347</v>
      </c>
      <c r="BR213" s="4">
        <f>_xlfn.IFNA(VLOOKUP(Granger_Inventory[[#This Row],[quality]],Lookups!$A$25:$C$35,3,FALSE),1)</f>
        <v>0.98258795897788032</v>
      </c>
      <c r="BS213" s="4">
        <f>_xlfn.IFNA(VLOOKUP(Granger_Inventory[[#This Row],[condition]],Lookups!$A$38:$C$45,3,FALSE),1)</f>
        <v>0.85322907131620684</v>
      </c>
      <c r="BT213" s="4">
        <f>IF(Granger_Inventory[[#This Row],[decade]]="",1,_xlfn.IFNA(VLOOKUP(Granger_Inventory[[#This Row],[decade]],Lookups!$G$28:$I$42,3,FALSE),1))</f>
        <v>0.76006056002554967</v>
      </c>
      <c r="BU213" s="4">
        <f>_xlfn.IFNA(VLOOKUP(Granger_Inventory[[#This Row],[living_area_range]],Lookups!$A$48:$C$57,3,FALSE),1)</f>
        <v>0.97860968051050168</v>
      </c>
      <c r="BV213" s="4">
        <f>AVERAGE(Granger_Inventory[[#This Row],[qual_adj]:[living_range_adj]])</f>
        <v>0.89362181770753468</v>
      </c>
      <c r="BW213" s="8">
        <f>(Granger_Inventory[[#This Row],[sum_land]]-IF(Granger_Inventory[[#This Row],[no_utilities]]=1,12000,0))/IF(Granger_Inventory[[#This Row],[unbuildable]]=1,2,1)</f>
        <v>23128.971718879347</v>
      </c>
      <c r="BX213" s="8">
        <f>Granger_Inventory[[#This Row],[pre_res]]*Granger_Inventory[[#This Row],[overall_adj]]</f>
        <v>212935.23936482027</v>
      </c>
      <c r="BY21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213">
        <f>ROUND(Granger_Inventory[[#This Row],[detatched_value]]*Lookups!$I$45,-2)</f>
        <v>1200</v>
      </c>
      <c r="CA213">
        <f>IF(ROUND(Granger_Inventory[[#This Row],[adj_res]]*Lookups!$I$45,-2)&lt;Granger_Inventory[[#This Row],[min_res]],Granger_Inventory[[#This Row],[min_res]],ROUND(Granger_Inventory[[#This Row],[adj_res]]*Lookups!$I$45,-2))</f>
        <v>202300</v>
      </c>
      <c r="CB213">
        <f>Granger_Inventory[[#This Row],[final_det]]+Granger_Inventory[[#This Row],[final_res]]</f>
        <v>203500</v>
      </c>
      <c r="CC213">
        <f>Granger_Inventory[[#This Row],[final_land]]+Granger_Inventory[[#This Row],[final_imp]]+Granger_Inventory[[#This Row],[crop_value]]</f>
        <v>225500</v>
      </c>
      <c r="CE213" t="str">
        <f t="shared" si="3"/>
        <v>update valuation set market_land =22000, market_bldg=203500, market_total =225500, market_mdno =402, market_date ='9/10/2023' where link_id = (select link_id from parcel where parcel_year = '2024' and parcel_id = '21101644408');</v>
      </c>
    </row>
    <row r="214" spans="1:83" x14ac:dyDescent="0.25">
      <c r="A214">
        <v>21101644424</v>
      </c>
      <c r="B214">
        <v>0.53</v>
      </c>
      <c r="C214">
        <v>22924</v>
      </c>
      <c r="D214" t="s">
        <v>137</v>
      </c>
      <c r="E214" t="s">
        <v>54</v>
      </c>
      <c r="F214" t="s">
        <v>54</v>
      </c>
      <c r="G214">
        <v>3</v>
      </c>
      <c r="H214" t="s">
        <v>55</v>
      </c>
      <c r="I214">
        <v>143400</v>
      </c>
      <c r="J214">
        <v>31600</v>
      </c>
      <c r="K214">
        <v>0.53</v>
      </c>
      <c r="L214">
        <f>IF(Granger_Inventory[[#This Row],[parcel_acres]]-Granger_Inventory[[#This Row],[non_valued_acres]] =0,0,LN(Granger_Inventory[[#This Row],[parcel_acres]]-Granger_Inventory[[#This Row],[non_valued_acres]]))</f>
        <v>-0.6348782724359695</v>
      </c>
      <c r="M214">
        <v>0</v>
      </c>
      <c r="N214">
        <v>0</v>
      </c>
      <c r="O214">
        <v>0</v>
      </c>
      <c r="P214">
        <v>47108.068500000001</v>
      </c>
      <c r="Q214">
        <v>122298</v>
      </c>
      <c r="R214">
        <f>(Granger_Inventory[[#This Row],[ln_acres]]*Granger_Inventory[[#This Row],[coeff]])+Granger_Inventory[[#This Row],[const]]</f>
        <v>92390.110852924685</v>
      </c>
      <c r="S214" t="s">
        <v>62</v>
      </c>
      <c r="T214">
        <v>2</v>
      </c>
      <c r="U214" t="s">
        <v>78</v>
      </c>
      <c r="V214" t="s">
        <v>82</v>
      </c>
      <c r="W214">
        <v>0</v>
      </c>
      <c r="X214">
        <v>0</v>
      </c>
      <c r="Y214">
        <v>51</v>
      </c>
      <c r="Z214">
        <v>78</v>
      </c>
      <c r="AA214">
        <v>80</v>
      </c>
      <c r="AB214">
        <v>2500</v>
      </c>
      <c r="AC214">
        <v>2468</v>
      </c>
      <c r="AD214">
        <v>2068</v>
      </c>
      <c r="AE214">
        <v>400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224</v>
      </c>
      <c r="AN214">
        <v>0</v>
      </c>
      <c r="AO214">
        <v>0</v>
      </c>
      <c r="AP214">
        <v>9</v>
      </c>
      <c r="AQ214">
        <v>0</v>
      </c>
      <c r="AR214">
        <v>1</v>
      </c>
      <c r="AS214" t="s">
        <v>59</v>
      </c>
      <c r="AT214">
        <v>1</v>
      </c>
      <c r="AU214" t="s">
        <v>60</v>
      </c>
      <c r="AV214" t="s">
        <v>61</v>
      </c>
      <c r="AW214">
        <v>0</v>
      </c>
      <c r="AX214">
        <v>4</v>
      </c>
      <c r="AY214">
        <v>0</v>
      </c>
      <c r="AZ214">
        <v>19500</v>
      </c>
      <c r="BA214">
        <v>100</v>
      </c>
      <c r="BB214">
        <v>100</v>
      </c>
      <c r="BC214">
        <v>100</v>
      </c>
      <c r="BD214">
        <v>100</v>
      </c>
      <c r="BE214">
        <v>1</v>
      </c>
      <c r="BF214">
        <v>15000</v>
      </c>
      <c r="BG214">
        <v>1000</v>
      </c>
      <c r="BH214" s="8">
        <f>Granger_Inventory[[#This Row],[land_extract]]*Lookups!$B$3</f>
        <v>55039.634650501503</v>
      </c>
      <c r="BI214" s="8">
        <f>IF(Granger_Inventory[[#This Row],[bldg_style]]="",0,Lookups!$B$2)</f>
        <v>29703.559000000001</v>
      </c>
      <c r="BJ214" s="8">
        <f>_xlfn.IFNA(VLOOKUP(Granger_Inventory[[#This Row],[quality]],Lookups!$H$2:$J$14,3,FALSE),0)</f>
        <v>23737.786340274597</v>
      </c>
      <c r="BK214" s="8">
        <f>_xlfn.IFNA(VLOOKUP(Granger_Inventory[[#This Row],[condition]],Lookups!$H$17:$J$24,3,FALSE),0)</f>
        <v>27308</v>
      </c>
      <c r="BL214" s="8">
        <f>Granger_Inventory[[#This Row],[Age]]*Lookups!$B$16</f>
        <v>-16171.825799999999</v>
      </c>
      <c r="BM214" s="8">
        <f>Granger_Inventory[[#This Row],[living_area]]*Lookups!$B$17</f>
        <v>166029.53941199998</v>
      </c>
      <c r="BN214" s="8">
        <f>(Granger_Inventory[[#This Row],[att_gar]]+Granger_Inventory[[#This Row],[blt_gar]])*Lookups!$B$18</f>
        <v>0</v>
      </c>
      <c r="BO214" s="8">
        <f>Granger_Inventory[[#This Row],[Patio]]*Lookups!$B$19</f>
        <v>12166.581504</v>
      </c>
      <c r="BP214" s="8">
        <f>SUM(Granger_Inventory[[#This Row],[Intercept]:[Patio_Value]])*Granger_Inventory[[#This Row],[res_pct]]</f>
        <v>242773.64045627459</v>
      </c>
      <c r="BQ214" s="8">
        <f>Granger_Inventory[[#This Row],[land_value]]</f>
        <v>55039.634650501503</v>
      </c>
      <c r="BR214" s="4">
        <f>_xlfn.IFNA(VLOOKUP(Granger_Inventory[[#This Row],[quality]],Lookups!$A$25:$C$35,3,FALSE),1)</f>
        <v>0.77695375541795109</v>
      </c>
      <c r="BS214" s="4">
        <f>_xlfn.IFNA(VLOOKUP(Granger_Inventory[[#This Row],[condition]],Lookups!$A$38:$C$45,3,FALSE),1)</f>
        <v>0.59507759803100935</v>
      </c>
      <c r="BT214" s="4">
        <f>IF(Granger_Inventory[[#This Row],[decade]]="",1,_xlfn.IFNA(VLOOKUP(Granger_Inventory[[#This Row],[decade]],Lookups!$G$28:$I$42,3,FALSE),1))</f>
        <v>0.76006056002554967</v>
      </c>
      <c r="BU214" s="4">
        <f>_xlfn.IFNA(VLOOKUP(Granger_Inventory[[#This Row],[living_area_range]],Lookups!$A$48:$C$57,3,FALSE),1)</f>
        <v>1.0000039906678986</v>
      </c>
      <c r="BV214" s="4">
        <f>AVERAGE(Granger_Inventory[[#This Row],[qual_adj]:[living_range_adj]])</f>
        <v>0.78302397603560214</v>
      </c>
      <c r="BW214" s="8">
        <f>(Granger_Inventory[[#This Row],[sum_land]]-IF(Granger_Inventory[[#This Row],[no_utilities]]=1,12000,0))/IF(Granger_Inventory[[#This Row],[unbuildable]]=1,2,1)</f>
        <v>55039.634650501503</v>
      </c>
      <c r="BX214" s="8">
        <f>Granger_Inventory[[#This Row],[pre_res]]*Granger_Inventory[[#This Row],[overall_adj]]</f>
        <v>190097.58122670985</v>
      </c>
      <c r="BY214">
        <f>IF(ROUND(Granger_Inventory[[#This Row],[adj_land]]*Lookups!$I$45,-2)&lt;Granger_Inventory[[#This Row],[min_land]],Granger_Inventory[[#This Row],[min_land]],ROUND(Granger_Inventory[[#This Row],[adj_land]]*Lookups!$I$45,-2))</f>
        <v>52300</v>
      </c>
      <c r="BZ214">
        <f>ROUND(Granger_Inventory[[#This Row],[detatched_value]]*Lookups!$I$45,-2)</f>
        <v>18500</v>
      </c>
      <c r="CA214">
        <f>IF(ROUND(Granger_Inventory[[#This Row],[adj_res]]*Lookups!$I$45,-2)&lt;Granger_Inventory[[#This Row],[min_res]],Granger_Inventory[[#This Row],[min_res]],ROUND(Granger_Inventory[[#This Row],[adj_res]]*Lookups!$I$45,-2))</f>
        <v>180600</v>
      </c>
      <c r="CB214">
        <f>Granger_Inventory[[#This Row],[final_det]]+Granger_Inventory[[#This Row],[final_res]]</f>
        <v>199100</v>
      </c>
      <c r="CC214">
        <f>Granger_Inventory[[#This Row],[final_land]]+Granger_Inventory[[#This Row],[final_imp]]+Granger_Inventory[[#This Row],[crop_value]]</f>
        <v>251400</v>
      </c>
      <c r="CE214" t="str">
        <f t="shared" si="3"/>
        <v>update valuation set market_land =52300, market_bldg=199100, market_total =251400, market_mdno =402, market_date ='9/10/2023' where link_id = (select link_id from parcel where parcel_year = '2024' and parcel_id = '21101644424');</v>
      </c>
    </row>
    <row r="215" spans="1:83" x14ac:dyDescent="0.25">
      <c r="A215">
        <v>21101644426</v>
      </c>
      <c r="B215">
        <v>0.17</v>
      </c>
      <c r="C215">
        <v>7516</v>
      </c>
      <c r="D215" t="s">
        <v>137</v>
      </c>
      <c r="E215" t="s">
        <v>54</v>
      </c>
      <c r="F215" t="s">
        <v>54</v>
      </c>
      <c r="G215">
        <v>3</v>
      </c>
      <c r="H215" t="s">
        <v>55</v>
      </c>
      <c r="I215">
        <v>65300</v>
      </c>
      <c r="J215">
        <v>25300</v>
      </c>
      <c r="K215">
        <v>0.17</v>
      </c>
      <c r="L215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215">
        <v>0</v>
      </c>
      <c r="N215">
        <v>0</v>
      </c>
      <c r="O215">
        <v>0</v>
      </c>
      <c r="P215">
        <v>47108.068500000001</v>
      </c>
      <c r="Q215">
        <v>122298</v>
      </c>
      <c r="R215">
        <f>(Granger_Inventory[[#This Row],[ln_acres]]*Granger_Inventory[[#This Row],[coeff]])+Granger_Inventory[[#This Row],[const]]</f>
        <v>38824.535711229546</v>
      </c>
      <c r="S215" t="s">
        <v>69</v>
      </c>
      <c r="T215">
        <v>1</v>
      </c>
      <c r="U215" t="s">
        <v>78</v>
      </c>
      <c r="V215" t="s">
        <v>79</v>
      </c>
      <c r="W215">
        <v>0</v>
      </c>
      <c r="X215">
        <v>0</v>
      </c>
      <c r="Y215">
        <v>51</v>
      </c>
      <c r="Z215">
        <v>78</v>
      </c>
      <c r="AA215">
        <v>80</v>
      </c>
      <c r="AB215">
        <v>1000</v>
      </c>
      <c r="AC215">
        <v>949</v>
      </c>
      <c r="AD215">
        <v>949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73</v>
      </c>
      <c r="AO215">
        <v>0</v>
      </c>
      <c r="AP215">
        <v>5</v>
      </c>
      <c r="AQ215">
        <v>0</v>
      </c>
      <c r="AR215">
        <v>0</v>
      </c>
      <c r="AS215" t="s">
        <v>59</v>
      </c>
      <c r="AT215">
        <v>1</v>
      </c>
      <c r="AU215" t="s">
        <v>68</v>
      </c>
      <c r="AV215" t="s">
        <v>65</v>
      </c>
      <c r="AW215">
        <v>0</v>
      </c>
      <c r="AX215">
        <v>3</v>
      </c>
      <c r="AY215">
        <v>0</v>
      </c>
      <c r="AZ215">
        <v>0</v>
      </c>
      <c r="BA215">
        <v>100</v>
      </c>
      <c r="BB215">
        <v>100</v>
      </c>
      <c r="BC215">
        <v>100</v>
      </c>
      <c r="BD215">
        <v>100</v>
      </c>
      <c r="BE215">
        <v>1</v>
      </c>
      <c r="BF215">
        <v>15000</v>
      </c>
      <c r="BG215">
        <v>1000</v>
      </c>
      <c r="BH215" s="8">
        <f>Granger_Inventory[[#This Row],[land_extract]]*Lookups!$B$3</f>
        <v>23128.971718879347</v>
      </c>
      <c r="BI215" s="8">
        <f>IF(Granger_Inventory[[#This Row],[bldg_style]]="",0,Lookups!$B$2)</f>
        <v>29703.559000000001</v>
      </c>
      <c r="BJ215" s="8">
        <f>_xlfn.IFNA(VLOOKUP(Granger_Inventory[[#This Row],[quality]],Lookups!$H$2:$J$14,3,FALSE),0)</f>
        <v>23737.786340274597</v>
      </c>
      <c r="BK215" s="8">
        <f>_xlfn.IFNA(VLOOKUP(Granger_Inventory[[#This Row],[condition]],Lookups!$H$17:$J$24,3,FALSE),0)</f>
        <v>86727</v>
      </c>
      <c r="BL215" s="8">
        <f>Granger_Inventory[[#This Row],[Age]]*Lookups!$B$16</f>
        <v>-16171.825799999999</v>
      </c>
      <c r="BM215" s="8">
        <f>Granger_Inventory[[#This Row],[living_area]]*Lookups!$B$17</f>
        <v>63841.990640999997</v>
      </c>
      <c r="BN215" s="8">
        <f>(Granger_Inventory[[#This Row],[att_gar]]+Granger_Inventory[[#This Row],[blt_gar]])*Lookups!$B$18</f>
        <v>0</v>
      </c>
      <c r="BO215" s="8">
        <f>Granger_Inventory[[#This Row],[Patio]]*Lookups!$B$19</f>
        <v>0</v>
      </c>
      <c r="BP215" s="8">
        <f>SUM(Granger_Inventory[[#This Row],[Intercept]:[Patio_Value]])*Granger_Inventory[[#This Row],[res_pct]]</f>
        <v>187838.51018127461</v>
      </c>
      <c r="BQ215" s="8">
        <f>Granger_Inventory[[#This Row],[land_value]]</f>
        <v>23128.971718879347</v>
      </c>
      <c r="BR215" s="4">
        <f>_xlfn.IFNA(VLOOKUP(Granger_Inventory[[#This Row],[quality]],Lookups!$A$25:$C$35,3,FALSE),1)</f>
        <v>0.77695375541795109</v>
      </c>
      <c r="BS215" s="4">
        <f>_xlfn.IFNA(VLOOKUP(Granger_Inventory[[#This Row],[condition]],Lookups!$A$38:$C$45,3,FALSE),1)</f>
        <v>0.85322907131620684</v>
      </c>
      <c r="BT215" s="4">
        <f>IF(Granger_Inventory[[#This Row],[decade]]="",1,_xlfn.IFNA(VLOOKUP(Granger_Inventory[[#This Row],[decade]],Lookups!$G$28:$I$42,3,FALSE),1))</f>
        <v>0.76006056002554967</v>
      </c>
      <c r="BU215" s="4">
        <f>_xlfn.IFNA(VLOOKUP(Granger_Inventory[[#This Row],[living_area_range]],Lookups!$A$48:$C$57,3,FALSE),1)</f>
        <v>0.81272404900450645</v>
      </c>
      <c r="BV215" s="4">
        <f>AVERAGE(Granger_Inventory[[#This Row],[qual_adj]:[living_range_adj]])</f>
        <v>0.80074185894105354</v>
      </c>
      <c r="BW215" s="8">
        <f>(Granger_Inventory[[#This Row],[sum_land]]-IF(Granger_Inventory[[#This Row],[no_utilities]]=1,12000,0))/IF(Granger_Inventory[[#This Row],[unbuildable]]=1,2,1)</f>
        <v>23128.971718879347</v>
      </c>
      <c r="BX215" s="8">
        <f>Granger_Inventory[[#This Row],[pre_res]]*Granger_Inventory[[#This Row],[overall_adj]]</f>
        <v>150410.15782327185</v>
      </c>
      <c r="BY215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215">
        <f>ROUND(Granger_Inventory[[#This Row],[detatched_value]]*Lookups!$I$45,-2)</f>
        <v>0</v>
      </c>
      <c r="CA215">
        <f>IF(ROUND(Granger_Inventory[[#This Row],[adj_res]]*Lookups!$I$45,-2)&lt;Granger_Inventory[[#This Row],[min_res]],Granger_Inventory[[#This Row],[min_res]],ROUND(Granger_Inventory[[#This Row],[adj_res]]*Lookups!$I$45,-2))</f>
        <v>142900</v>
      </c>
      <c r="CB215">
        <f>Granger_Inventory[[#This Row],[final_det]]+Granger_Inventory[[#This Row],[final_res]]</f>
        <v>142900</v>
      </c>
      <c r="CC215">
        <f>Granger_Inventory[[#This Row],[final_land]]+Granger_Inventory[[#This Row],[final_imp]]+Granger_Inventory[[#This Row],[crop_value]]</f>
        <v>164900</v>
      </c>
      <c r="CE215" t="str">
        <f t="shared" si="3"/>
        <v>update valuation set market_land =22000, market_bldg=142900, market_total =164900, market_mdno =402, market_date ='9/10/2023' where link_id = (select link_id from parcel where parcel_year = '2024' and parcel_id = '21101644426');</v>
      </c>
    </row>
    <row r="216" spans="1:83" x14ac:dyDescent="0.25">
      <c r="A216">
        <v>21101644428</v>
      </c>
      <c r="B216">
        <v>0.27</v>
      </c>
      <c r="C216">
        <v>11973</v>
      </c>
      <c r="D216" t="s">
        <v>137</v>
      </c>
      <c r="E216" t="s">
        <v>54</v>
      </c>
      <c r="F216" t="s">
        <v>54</v>
      </c>
      <c r="G216">
        <v>3</v>
      </c>
      <c r="H216" t="s">
        <v>55</v>
      </c>
      <c r="I216">
        <v>144900</v>
      </c>
      <c r="J216">
        <v>27900</v>
      </c>
      <c r="K216">
        <v>0.27</v>
      </c>
      <c r="L216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216">
        <v>0</v>
      </c>
      <c r="N216">
        <v>0</v>
      </c>
      <c r="O216">
        <v>0</v>
      </c>
      <c r="P216">
        <v>47108.068500000001</v>
      </c>
      <c r="Q216">
        <v>122298</v>
      </c>
      <c r="R216">
        <f>(Granger_Inventory[[#This Row],[ln_acres]]*Granger_Inventory[[#This Row],[coeff]])+Granger_Inventory[[#This Row],[const]]</f>
        <v>60617.836272872511</v>
      </c>
      <c r="S216" t="s">
        <v>69</v>
      </c>
      <c r="T216">
        <v>1</v>
      </c>
      <c r="U216" t="s">
        <v>71</v>
      </c>
      <c r="V216" t="s">
        <v>72</v>
      </c>
      <c r="W216">
        <v>0</v>
      </c>
      <c r="X216">
        <v>0</v>
      </c>
      <c r="Y216">
        <v>55</v>
      </c>
      <c r="Z216">
        <v>98</v>
      </c>
      <c r="AA216">
        <v>100</v>
      </c>
      <c r="AB216">
        <v>1500</v>
      </c>
      <c r="AC216">
        <v>1024</v>
      </c>
      <c r="AD216">
        <v>1024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9</v>
      </c>
      <c r="AO216">
        <v>512</v>
      </c>
      <c r="AP216">
        <v>5</v>
      </c>
      <c r="AQ216">
        <v>0</v>
      </c>
      <c r="AR216">
        <v>0</v>
      </c>
      <c r="AS216" t="s">
        <v>59</v>
      </c>
      <c r="AT216">
        <v>0</v>
      </c>
      <c r="AU216" t="s">
        <v>83</v>
      </c>
      <c r="AV216" t="s">
        <v>65</v>
      </c>
      <c r="AW216">
        <v>0</v>
      </c>
      <c r="AX216">
        <v>3</v>
      </c>
      <c r="AY216">
        <v>0</v>
      </c>
      <c r="AZ216">
        <v>0</v>
      </c>
      <c r="BA216">
        <v>100</v>
      </c>
      <c r="BB216">
        <v>100</v>
      </c>
      <c r="BC216">
        <v>100</v>
      </c>
      <c r="BD216">
        <v>100</v>
      </c>
      <c r="BE216">
        <v>1</v>
      </c>
      <c r="BF216">
        <v>15000</v>
      </c>
      <c r="BG216">
        <v>1000</v>
      </c>
      <c r="BH216" s="8">
        <f>Granger_Inventory[[#This Row],[land_extract]]*Lookups!$B$3</f>
        <v>36111.912097107357</v>
      </c>
      <c r="BI216" s="8">
        <f>IF(Granger_Inventory[[#This Row],[bldg_style]]="",0,Lookups!$B$2)</f>
        <v>29703.559000000001</v>
      </c>
      <c r="BJ216" s="8">
        <f>_xlfn.IFNA(VLOOKUP(Granger_Inventory[[#This Row],[quality]],Lookups!$H$2:$J$14,3,FALSE),0)</f>
        <v>34195</v>
      </c>
      <c r="BK216" s="8">
        <f>_xlfn.IFNA(VLOOKUP(Granger_Inventory[[#This Row],[condition]],Lookups!$H$17:$J$24,3,FALSE),0)</f>
        <v>94106</v>
      </c>
      <c r="BL216" s="8">
        <f>Granger_Inventory[[#This Row],[Age]]*Lookups!$B$16</f>
        <v>-20318.447799999998</v>
      </c>
      <c r="BM216" s="8">
        <f>Granger_Inventory[[#This Row],[living_area]]*Lookups!$B$17</f>
        <v>68887.458815999998</v>
      </c>
      <c r="BN216" s="8">
        <f>(Granger_Inventory[[#This Row],[att_gar]]+Granger_Inventory[[#This Row],[blt_gar]])*Lookups!$B$18</f>
        <v>0</v>
      </c>
      <c r="BO216" s="8">
        <f>Granger_Inventory[[#This Row],[Patio]]*Lookups!$B$19</f>
        <v>0</v>
      </c>
      <c r="BP216" s="8">
        <f>SUM(Granger_Inventory[[#This Row],[Intercept]:[Patio_Value]])*Granger_Inventory[[#This Row],[res_pct]]</f>
        <v>206573.57001600001</v>
      </c>
      <c r="BQ216" s="8">
        <f>Granger_Inventory[[#This Row],[land_value]]</f>
        <v>36111.912097107357</v>
      </c>
      <c r="BR216" s="4">
        <f>_xlfn.IFNA(VLOOKUP(Granger_Inventory[[#This Row],[quality]],Lookups!$A$25:$C$35,3,FALSE),1)</f>
        <v>0.98258795897788032</v>
      </c>
      <c r="BS216" s="4">
        <f>_xlfn.IFNA(VLOOKUP(Granger_Inventory[[#This Row],[condition]],Lookups!$A$38:$C$45,3,FALSE),1)</f>
        <v>0.98658583151544277</v>
      </c>
      <c r="BT216" s="4">
        <f>IF(Granger_Inventory[[#This Row],[decade]]="",1,_xlfn.IFNA(VLOOKUP(Granger_Inventory[[#This Row],[decade]],Lookups!$G$28:$I$42,3,FALSE),1))</f>
        <v>0.879441629375324</v>
      </c>
      <c r="BU216" s="4">
        <f>_xlfn.IFNA(VLOOKUP(Granger_Inventory[[#This Row],[living_area_range]],Lookups!$A$48:$C$57,3,FALSE),1)</f>
        <v>0.97960506760539345</v>
      </c>
      <c r="BV216" s="4">
        <f>AVERAGE(Granger_Inventory[[#This Row],[qual_adj]:[living_range_adj]])</f>
        <v>0.95705512186851016</v>
      </c>
      <c r="BW216" s="8">
        <f>(Granger_Inventory[[#This Row],[sum_land]]-IF(Granger_Inventory[[#This Row],[no_utilities]]=1,12000,0))/IF(Granger_Inventory[[#This Row],[unbuildable]]=1,2,1)</f>
        <v>36111.912097107357</v>
      </c>
      <c r="BX216" s="8">
        <f>Granger_Inventory[[#This Row],[pre_res]]*Granger_Inventory[[#This Row],[overall_adj]]</f>
        <v>197702.29322647612</v>
      </c>
      <c r="BY216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216">
        <f>ROUND(Granger_Inventory[[#This Row],[detatched_value]]*Lookups!$I$45,-2)</f>
        <v>0</v>
      </c>
      <c r="CA216">
        <f>IF(ROUND(Granger_Inventory[[#This Row],[adj_res]]*Lookups!$I$45,-2)&lt;Granger_Inventory[[#This Row],[min_res]],Granger_Inventory[[#This Row],[min_res]],ROUND(Granger_Inventory[[#This Row],[adj_res]]*Lookups!$I$45,-2))</f>
        <v>187800</v>
      </c>
      <c r="CB216">
        <f>Granger_Inventory[[#This Row],[final_det]]+Granger_Inventory[[#This Row],[final_res]]</f>
        <v>187800</v>
      </c>
      <c r="CC216">
        <f>Granger_Inventory[[#This Row],[final_land]]+Granger_Inventory[[#This Row],[final_imp]]+Granger_Inventory[[#This Row],[crop_value]]</f>
        <v>222100</v>
      </c>
      <c r="CE216" t="str">
        <f t="shared" si="3"/>
        <v>update valuation set market_land =34300, market_bldg=187800, market_total =222100, market_mdno =402, market_date ='9/10/2023' where link_id = (select link_id from parcel where parcel_year = '2024' and parcel_id = '21101644428');</v>
      </c>
    </row>
    <row r="217" spans="1:83" x14ac:dyDescent="0.25">
      <c r="A217">
        <v>21101644429</v>
      </c>
      <c r="B217">
        <v>0.26</v>
      </c>
      <c r="C217">
        <v>11187</v>
      </c>
      <c r="D217" t="s">
        <v>137</v>
      </c>
      <c r="E217" t="s">
        <v>54</v>
      </c>
      <c r="F217" t="s">
        <v>54</v>
      </c>
      <c r="G217">
        <v>3</v>
      </c>
      <c r="H217" t="s">
        <v>55</v>
      </c>
      <c r="I217">
        <v>90600</v>
      </c>
      <c r="J217">
        <v>27700</v>
      </c>
      <c r="K217">
        <v>0.26</v>
      </c>
      <c r="L217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217">
        <v>0</v>
      </c>
      <c r="N217">
        <v>0</v>
      </c>
      <c r="O217">
        <v>0</v>
      </c>
      <c r="P217">
        <v>47108.068500000001</v>
      </c>
      <c r="Q217">
        <v>122298</v>
      </c>
      <c r="R217">
        <f>(Granger_Inventory[[#This Row],[ln_acres]]*Granger_Inventory[[#This Row],[coeff]])+Granger_Inventory[[#This Row],[const]]</f>
        <v>58839.962317044083</v>
      </c>
      <c r="S217" t="s">
        <v>62</v>
      </c>
      <c r="T217">
        <v>2</v>
      </c>
      <c r="U217" t="s">
        <v>106</v>
      </c>
      <c r="V217" t="s">
        <v>77</v>
      </c>
      <c r="W217">
        <v>0</v>
      </c>
      <c r="X217">
        <v>0</v>
      </c>
      <c r="Y217">
        <v>57</v>
      </c>
      <c r="Z217">
        <v>102</v>
      </c>
      <c r="AA217">
        <v>110</v>
      </c>
      <c r="AB217">
        <v>1500</v>
      </c>
      <c r="AC217">
        <v>1176</v>
      </c>
      <c r="AD217">
        <v>864</v>
      </c>
      <c r="AE217">
        <v>312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5</v>
      </c>
      <c r="AQ217">
        <v>0</v>
      </c>
      <c r="AR217">
        <v>0</v>
      </c>
      <c r="AS217" t="s">
        <v>59</v>
      </c>
      <c r="AT217">
        <v>1</v>
      </c>
      <c r="AU217" t="s">
        <v>68</v>
      </c>
      <c r="AV217" t="s">
        <v>65</v>
      </c>
      <c r="AW217">
        <v>0</v>
      </c>
      <c r="AX217">
        <v>3</v>
      </c>
      <c r="AY217">
        <v>0</v>
      </c>
      <c r="AZ217">
        <v>0</v>
      </c>
      <c r="BA217">
        <v>100</v>
      </c>
      <c r="BB217">
        <v>100</v>
      </c>
      <c r="BC217">
        <v>100</v>
      </c>
      <c r="BD217">
        <v>100</v>
      </c>
      <c r="BE217">
        <v>1</v>
      </c>
      <c r="BF217">
        <v>15000</v>
      </c>
      <c r="BG217">
        <v>1000</v>
      </c>
      <c r="BH217" s="8">
        <f>Granger_Inventory[[#This Row],[land_extract]]*Lookups!$B$3</f>
        <v>35052.777823102522</v>
      </c>
      <c r="BI217" s="8">
        <f>IF(Granger_Inventory[[#This Row],[bldg_style]]="",0,Lookups!$B$2)</f>
        <v>29703.559000000001</v>
      </c>
      <c r="BJ217" s="8">
        <f>_xlfn.IFNA(VLOOKUP(Granger_Inventory[[#This Row],[quality]],Lookups!$H$2:$J$14,3,FALSE),0)</f>
        <v>17985.540667792327</v>
      </c>
      <c r="BK217" s="8">
        <f>_xlfn.IFNA(VLOOKUP(Granger_Inventory[[#This Row],[condition]],Lookups!$H$17:$J$24,3,FALSE),0)</f>
        <v>33736</v>
      </c>
      <c r="BL217" s="8">
        <f>Granger_Inventory[[#This Row],[Age]]*Lookups!$B$16</f>
        <v>-21147.772199999999</v>
      </c>
      <c r="BM217" s="8">
        <f>Granger_Inventory[[#This Row],[living_area]]*Lookups!$B$17</f>
        <v>79112.940984000001</v>
      </c>
      <c r="BN217" s="8">
        <f>(Granger_Inventory[[#This Row],[att_gar]]+Granger_Inventory[[#This Row],[blt_gar]])*Lookups!$B$18</f>
        <v>0</v>
      </c>
      <c r="BO217" s="8">
        <f>Granger_Inventory[[#This Row],[Patio]]*Lookups!$B$19</f>
        <v>0</v>
      </c>
      <c r="BP217" s="8">
        <f>SUM(Granger_Inventory[[#This Row],[Intercept]:[Patio_Value]])*Granger_Inventory[[#This Row],[res_pct]]</f>
        <v>139390.26845179233</v>
      </c>
      <c r="BQ217" s="8">
        <f>Granger_Inventory[[#This Row],[land_value]]</f>
        <v>35052.777823102522</v>
      </c>
      <c r="BR217" s="4">
        <f>_xlfn.IFNA(VLOOKUP(Granger_Inventory[[#This Row],[quality]],Lookups!$A$25:$C$35,3,FALSE),1)</f>
        <v>0.77695375541795109</v>
      </c>
      <c r="BS217" s="4">
        <f>_xlfn.IFNA(VLOOKUP(Granger_Inventory[[#This Row],[condition]],Lookups!$A$38:$C$45,3,FALSE),1)</f>
        <v>0.92294678898076177</v>
      </c>
      <c r="BT217" s="4">
        <f>IF(Granger_Inventory[[#This Row],[decade]]="",1,_xlfn.IFNA(VLOOKUP(Granger_Inventory[[#This Row],[decade]],Lookups!$G$28:$I$42,3,FALSE),1))</f>
        <v>0.879441629375324</v>
      </c>
      <c r="BU217" s="4">
        <f>_xlfn.IFNA(VLOOKUP(Granger_Inventory[[#This Row],[living_area_range]],Lookups!$A$48:$C$57,3,FALSE),1)</f>
        <v>0.97960506760539345</v>
      </c>
      <c r="BV217" s="4">
        <f>AVERAGE(Granger_Inventory[[#This Row],[qual_adj]:[living_range_adj]])</f>
        <v>0.88973681034485752</v>
      </c>
      <c r="BW217" s="8">
        <f>(Granger_Inventory[[#This Row],[sum_land]]-IF(Granger_Inventory[[#This Row],[no_utilities]]=1,12000,0))/IF(Granger_Inventory[[#This Row],[unbuildable]]=1,2,1)</f>
        <v>35052.777823102522</v>
      </c>
      <c r="BX217" s="8">
        <f>Granger_Inventory[[#This Row],[pre_res]]*Granger_Inventory[[#This Row],[overall_adj]]</f>
        <v>124020.65284541112</v>
      </c>
      <c r="BY217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217">
        <f>ROUND(Granger_Inventory[[#This Row],[detatched_value]]*Lookups!$I$45,-2)</f>
        <v>0</v>
      </c>
      <c r="CA217">
        <f>IF(ROUND(Granger_Inventory[[#This Row],[adj_res]]*Lookups!$I$45,-2)&lt;Granger_Inventory[[#This Row],[min_res]],Granger_Inventory[[#This Row],[min_res]],ROUND(Granger_Inventory[[#This Row],[adj_res]]*Lookups!$I$45,-2))</f>
        <v>117800</v>
      </c>
      <c r="CB217">
        <f>Granger_Inventory[[#This Row],[final_det]]+Granger_Inventory[[#This Row],[final_res]]</f>
        <v>117800</v>
      </c>
      <c r="CC217">
        <f>Granger_Inventory[[#This Row],[final_land]]+Granger_Inventory[[#This Row],[final_imp]]+Granger_Inventory[[#This Row],[crop_value]]</f>
        <v>151100</v>
      </c>
      <c r="CE217" t="str">
        <f t="shared" si="3"/>
        <v>update valuation set market_land =33300, market_bldg=117800, market_total =151100, market_mdno =402, market_date ='9/10/2023' where link_id = (select link_id from parcel where parcel_year = '2024' and parcel_id = '21101644429');</v>
      </c>
    </row>
    <row r="218" spans="1:83" x14ac:dyDescent="0.25">
      <c r="A218">
        <v>21101644430</v>
      </c>
      <c r="B218">
        <v>0.45</v>
      </c>
      <c r="C218">
        <v>19560</v>
      </c>
      <c r="D218" t="s">
        <v>137</v>
      </c>
      <c r="E218" t="s">
        <v>54</v>
      </c>
      <c r="F218" t="s">
        <v>54</v>
      </c>
      <c r="G218">
        <v>3</v>
      </c>
      <c r="H218" t="s">
        <v>55</v>
      </c>
      <c r="I218">
        <v>79900</v>
      </c>
      <c r="J218">
        <v>30700</v>
      </c>
      <c r="K218">
        <v>0.45</v>
      </c>
      <c r="L218">
        <f>IF(Granger_Inventory[[#This Row],[parcel_acres]]-Granger_Inventory[[#This Row],[non_valued_acres]] =0,0,LN(Granger_Inventory[[#This Row],[parcel_acres]]-Granger_Inventory[[#This Row],[non_valued_acres]]))</f>
        <v>-0.79850769621777162</v>
      </c>
      <c r="M218">
        <v>0</v>
      </c>
      <c r="N218">
        <v>0</v>
      </c>
      <c r="O218">
        <v>0</v>
      </c>
      <c r="P218">
        <v>47108.068500000001</v>
      </c>
      <c r="Q218">
        <v>122298</v>
      </c>
      <c r="R218">
        <f>(Granger_Inventory[[#This Row],[ln_acres]]*Granger_Inventory[[#This Row],[coeff]])+Granger_Inventory[[#This Row],[const]]</f>
        <v>84681.844748796022</v>
      </c>
      <c r="S218" t="s">
        <v>69</v>
      </c>
      <c r="T218">
        <v>1</v>
      </c>
      <c r="U218" t="s">
        <v>78</v>
      </c>
      <c r="V218" t="s">
        <v>77</v>
      </c>
      <c r="W218">
        <v>0</v>
      </c>
      <c r="X218">
        <v>0</v>
      </c>
      <c r="Y218">
        <v>48</v>
      </c>
      <c r="Z218">
        <v>75</v>
      </c>
      <c r="AA218">
        <v>80</v>
      </c>
      <c r="AB218">
        <v>1500</v>
      </c>
      <c r="AC218">
        <v>1295</v>
      </c>
      <c r="AD218">
        <v>1295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560</v>
      </c>
      <c r="AO218">
        <v>0</v>
      </c>
      <c r="AP218">
        <v>5</v>
      </c>
      <c r="AQ218">
        <v>0</v>
      </c>
      <c r="AR218">
        <v>0</v>
      </c>
      <c r="AS218" t="s">
        <v>59</v>
      </c>
      <c r="AT218">
        <v>0</v>
      </c>
      <c r="AU218" t="s">
        <v>83</v>
      </c>
      <c r="AV218" t="s">
        <v>65</v>
      </c>
      <c r="AW218">
        <v>0</v>
      </c>
      <c r="AX218">
        <v>2</v>
      </c>
      <c r="AY218">
        <v>0</v>
      </c>
      <c r="AZ218">
        <v>0</v>
      </c>
      <c r="BA218">
        <v>100</v>
      </c>
      <c r="BB218">
        <v>100</v>
      </c>
      <c r="BC218">
        <v>100</v>
      </c>
      <c r="BD218">
        <v>100</v>
      </c>
      <c r="BE218">
        <v>1</v>
      </c>
      <c r="BF218">
        <v>15000</v>
      </c>
      <c r="BG218">
        <v>1000</v>
      </c>
      <c r="BH218" s="8">
        <f>Granger_Inventory[[#This Row],[land_extract]]*Lookups!$B$3</f>
        <v>50447.583117676055</v>
      </c>
      <c r="BI218" s="8">
        <f>IF(Granger_Inventory[[#This Row],[bldg_style]]="",0,Lookups!$B$2)</f>
        <v>29703.559000000001</v>
      </c>
      <c r="BJ218" s="8">
        <f>_xlfn.IFNA(VLOOKUP(Granger_Inventory[[#This Row],[quality]],Lookups!$H$2:$J$14,3,FALSE),0)</f>
        <v>23737.786340274597</v>
      </c>
      <c r="BK218" s="8">
        <f>_xlfn.IFNA(VLOOKUP(Granger_Inventory[[#This Row],[condition]],Lookups!$H$17:$J$24,3,FALSE),0)</f>
        <v>33736</v>
      </c>
      <c r="BL218" s="8">
        <f>Granger_Inventory[[#This Row],[Age]]*Lookups!$B$16</f>
        <v>-15549.832499999999</v>
      </c>
      <c r="BM218" s="8">
        <f>Granger_Inventory[[#This Row],[living_area]]*Lookups!$B$17</f>
        <v>87118.417155000003</v>
      </c>
      <c r="BN218" s="8">
        <f>(Granger_Inventory[[#This Row],[att_gar]]+Granger_Inventory[[#This Row],[blt_gar]])*Lookups!$B$18</f>
        <v>0</v>
      </c>
      <c r="BO218" s="8">
        <f>Granger_Inventory[[#This Row],[Patio]]*Lookups!$B$19</f>
        <v>0</v>
      </c>
      <c r="BP218" s="8">
        <f>SUM(Granger_Inventory[[#This Row],[Intercept]:[Patio_Value]])*Granger_Inventory[[#This Row],[res_pct]]</f>
        <v>158745.92999527458</v>
      </c>
      <c r="BQ218" s="8">
        <f>Granger_Inventory[[#This Row],[land_value]]</f>
        <v>50447.583117676055</v>
      </c>
      <c r="BR218" s="4">
        <f>_xlfn.IFNA(VLOOKUP(Granger_Inventory[[#This Row],[quality]],Lookups!$A$25:$C$35,3,FALSE),1)</f>
        <v>0.77695375541795109</v>
      </c>
      <c r="BS218" s="4">
        <f>_xlfn.IFNA(VLOOKUP(Granger_Inventory[[#This Row],[condition]],Lookups!$A$38:$C$45,3,FALSE),1)</f>
        <v>0.92294678898076177</v>
      </c>
      <c r="BT218" s="4">
        <f>IF(Granger_Inventory[[#This Row],[decade]]="",1,_xlfn.IFNA(VLOOKUP(Granger_Inventory[[#This Row],[decade]],Lookups!$G$28:$I$42,3,FALSE),1))</f>
        <v>0.76006056002554967</v>
      </c>
      <c r="BU218" s="4">
        <f>_xlfn.IFNA(VLOOKUP(Granger_Inventory[[#This Row],[living_area_range]],Lookups!$A$48:$C$57,3,FALSE),1)</f>
        <v>0.97960506760539345</v>
      </c>
      <c r="BV218" s="4">
        <f>AVERAGE(Granger_Inventory[[#This Row],[qual_adj]:[living_range_adj]])</f>
        <v>0.85989154300741399</v>
      </c>
      <c r="BW218" s="8">
        <f>(Granger_Inventory[[#This Row],[sum_land]]-IF(Granger_Inventory[[#This Row],[no_utilities]]=1,12000,0))/IF(Granger_Inventory[[#This Row],[unbuildable]]=1,2,1)</f>
        <v>50447.583117676055</v>
      </c>
      <c r="BX218" s="8">
        <f>Granger_Inventory[[#This Row],[pre_res]]*Granger_Inventory[[#This Row],[overall_adj]]</f>
        <v>136504.28268978358</v>
      </c>
      <c r="BY218">
        <f>IF(ROUND(Granger_Inventory[[#This Row],[adj_land]]*Lookups!$I$45,-2)&lt;Granger_Inventory[[#This Row],[min_land]],Granger_Inventory[[#This Row],[min_land]],ROUND(Granger_Inventory[[#This Row],[adj_land]]*Lookups!$I$45,-2))</f>
        <v>47900</v>
      </c>
      <c r="BZ218">
        <f>ROUND(Granger_Inventory[[#This Row],[detatched_value]]*Lookups!$I$45,-2)</f>
        <v>0</v>
      </c>
      <c r="CA218">
        <f>IF(ROUND(Granger_Inventory[[#This Row],[adj_res]]*Lookups!$I$45,-2)&lt;Granger_Inventory[[#This Row],[min_res]],Granger_Inventory[[#This Row],[min_res]],ROUND(Granger_Inventory[[#This Row],[adj_res]]*Lookups!$I$45,-2))</f>
        <v>129700</v>
      </c>
      <c r="CB218">
        <f>Granger_Inventory[[#This Row],[final_det]]+Granger_Inventory[[#This Row],[final_res]]</f>
        <v>129700</v>
      </c>
      <c r="CC218">
        <f>Granger_Inventory[[#This Row],[final_land]]+Granger_Inventory[[#This Row],[final_imp]]+Granger_Inventory[[#This Row],[crop_value]]</f>
        <v>177600</v>
      </c>
      <c r="CE218" t="str">
        <f t="shared" si="3"/>
        <v>update valuation set market_land =47900, market_bldg=129700, market_total =177600, market_mdno =402, market_date ='9/10/2023' where link_id = (select link_id from parcel where parcel_year = '2024' and parcel_id = '21101644430');</v>
      </c>
    </row>
    <row r="219" spans="1:83" x14ac:dyDescent="0.25">
      <c r="A219">
        <v>21101644437</v>
      </c>
      <c r="B219">
        <v>1.21</v>
      </c>
      <c r="C219">
        <v>52613</v>
      </c>
      <c r="D219" t="s">
        <v>137</v>
      </c>
      <c r="E219" t="s">
        <v>54</v>
      </c>
      <c r="F219" t="s">
        <v>54</v>
      </c>
      <c r="G219">
        <v>3</v>
      </c>
      <c r="H219" t="s">
        <v>55</v>
      </c>
      <c r="I219">
        <v>95300</v>
      </c>
      <c r="J219">
        <v>36200</v>
      </c>
      <c r="K219">
        <v>1.21</v>
      </c>
      <c r="L219">
        <f>IF(Granger_Inventory[[#This Row],[parcel_acres]]-Granger_Inventory[[#This Row],[non_valued_acres]] =0,0,LN(Granger_Inventory[[#This Row],[parcel_acres]]-Granger_Inventory[[#This Row],[non_valued_acres]]))</f>
        <v>0.1906203596086497</v>
      </c>
      <c r="M219">
        <v>0</v>
      </c>
      <c r="N219">
        <v>0</v>
      </c>
      <c r="O219">
        <v>0</v>
      </c>
      <c r="P219">
        <v>47108.068500000001</v>
      </c>
      <c r="Q219">
        <v>122298</v>
      </c>
      <c r="R219">
        <f>(Granger_Inventory[[#This Row],[ln_acres]]*Granger_Inventory[[#This Row],[coeff]])+Granger_Inventory[[#This Row],[const]]</f>
        <v>131277.75695793889</v>
      </c>
      <c r="S219" t="s">
        <v>69</v>
      </c>
      <c r="T219">
        <v>1</v>
      </c>
      <c r="U219" t="s">
        <v>71</v>
      </c>
      <c r="V219" t="s">
        <v>79</v>
      </c>
      <c r="W219">
        <v>0</v>
      </c>
      <c r="X219">
        <v>0</v>
      </c>
      <c r="Y219">
        <v>33</v>
      </c>
      <c r="Z219">
        <v>33</v>
      </c>
      <c r="AA219">
        <v>40</v>
      </c>
      <c r="AB219">
        <v>1500</v>
      </c>
      <c r="AC219">
        <v>1040</v>
      </c>
      <c r="AD219">
        <v>1040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348</v>
      </c>
      <c r="AN219">
        <v>0</v>
      </c>
      <c r="AO219">
        <v>348</v>
      </c>
      <c r="AP219">
        <v>5</v>
      </c>
      <c r="AQ219">
        <v>0</v>
      </c>
      <c r="AR219">
        <v>0</v>
      </c>
      <c r="AS219" t="s">
        <v>59</v>
      </c>
      <c r="AT219">
        <v>1</v>
      </c>
      <c r="AU219" t="s">
        <v>68</v>
      </c>
      <c r="AV219" t="s">
        <v>65</v>
      </c>
      <c r="AW219">
        <v>0</v>
      </c>
      <c r="AX219">
        <v>3</v>
      </c>
      <c r="AY219">
        <v>0</v>
      </c>
      <c r="AZ219">
        <v>0</v>
      </c>
      <c r="BA219">
        <v>100</v>
      </c>
      <c r="BB219">
        <v>100</v>
      </c>
      <c r="BC219">
        <v>100</v>
      </c>
      <c r="BD219">
        <v>100</v>
      </c>
      <c r="BE219">
        <v>1</v>
      </c>
      <c r="BF219">
        <v>15000</v>
      </c>
      <c r="BG219">
        <v>1000</v>
      </c>
      <c r="BH219" s="8">
        <f>Granger_Inventory[[#This Row],[land_extract]]*Lookups!$B$3</f>
        <v>78206.203174758499</v>
      </c>
      <c r="BI219" s="8">
        <f>IF(Granger_Inventory[[#This Row],[bldg_style]]="",0,Lookups!$B$2)</f>
        <v>29703.559000000001</v>
      </c>
      <c r="BJ219" s="8">
        <f>_xlfn.IFNA(VLOOKUP(Granger_Inventory[[#This Row],[quality]],Lookups!$H$2:$J$14,3,FALSE),0)</f>
        <v>34195</v>
      </c>
      <c r="BK219" s="8">
        <f>_xlfn.IFNA(VLOOKUP(Granger_Inventory[[#This Row],[condition]],Lookups!$H$17:$J$24,3,FALSE),0)</f>
        <v>86727</v>
      </c>
      <c r="BL219" s="8">
        <f>Granger_Inventory[[#This Row],[Age]]*Lookups!$B$16</f>
        <v>-6841.9263000000001</v>
      </c>
      <c r="BM219" s="8">
        <f>Granger_Inventory[[#This Row],[living_area]]*Lookups!$B$17</f>
        <v>69963.825360000003</v>
      </c>
      <c r="BN219" s="8">
        <f>(Granger_Inventory[[#This Row],[att_gar]]+Granger_Inventory[[#This Row],[blt_gar]])*Lookups!$B$18</f>
        <v>0</v>
      </c>
      <c r="BO219" s="8">
        <f>Granger_Inventory[[#This Row],[Patio]]*Lookups!$B$19</f>
        <v>18901.653407999998</v>
      </c>
      <c r="BP219" s="8">
        <f>SUM(Granger_Inventory[[#This Row],[Intercept]:[Patio_Value]])*Granger_Inventory[[#This Row],[res_pct]]</f>
        <v>232649.11146800005</v>
      </c>
      <c r="BQ219" s="8">
        <f>Granger_Inventory[[#This Row],[land_value]]</f>
        <v>78206.203174758499</v>
      </c>
      <c r="BR219" s="4">
        <f>_xlfn.IFNA(VLOOKUP(Granger_Inventory[[#This Row],[quality]],Lookups!$A$25:$C$35,3,FALSE),1)</f>
        <v>0.98258795897788032</v>
      </c>
      <c r="BS219" s="4">
        <f>_xlfn.IFNA(VLOOKUP(Granger_Inventory[[#This Row],[condition]],Lookups!$A$38:$C$45,3,FALSE),1)</f>
        <v>0.85322907131620684</v>
      </c>
      <c r="BT219" s="4">
        <f>IF(Granger_Inventory[[#This Row],[decade]]="",1,_xlfn.IFNA(VLOOKUP(Granger_Inventory[[#This Row],[decade]],Lookups!$G$28:$I$42,3,FALSE),1))</f>
        <v>0.98127609555109363</v>
      </c>
      <c r="BU219" s="4">
        <f>_xlfn.IFNA(VLOOKUP(Granger_Inventory[[#This Row],[living_area_range]],Lookups!$A$48:$C$57,3,FALSE),1)</f>
        <v>0.97960506760539345</v>
      </c>
      <c r="BV219" s="4">
        <f>AVERAGE(Granger_Inventory[[#This Row],[qual_adj]:[living_range_adj]])</f>
        <v>0.94917454836264359</v>
      </c>
      <c r="BW219" s="8">
        <f>(Granger_Inventory[[#This Row],[sum_land]]-IF(Granger_Inventory[[#This Row],[no_utilities]]=1,12000,0))/IF(Granger_Inventory[[#This Row],[unbuildable]]=1,2,1)</f>
        <v>78206.203174758499</v>
      </c>
      <c r="BX219" s="8">
        <f>Granger_Inventory[[#This Row],[pre_res]]*Granger_Inventory[[#This Row],[overall_adj]]</f>
        <v>220824.61530460927</v>
      </c>
      <c r="BY219">
        <f>IF(ROUND(Granger_Inventory[[#This Row],[adj_land]]*Lookups!$I$45,-2)&lt;Granger_Inventory[[#This Row],[min_land]],Granger_Inventory[[#This Row],[min_land]],ROUND(Granger_Inventory[[#This Row],[adj_land]]*Lookups!$I$45,-2))</f>
        <v>74300</v>
      </c>
      <c r="BZ219">
        <f>ROUND(Granger_Inventory[[#This Row],[detatched_value]]*Lookups!$I$45,-2)</f>
        <v>0</v>
      </c>
      <c r="CA219">
        <f>IF(ROUND(Granger_Inventory[[#This Row],[adj_res]]*Lookups!$I$45,-2)&lt;Granger_Inventory[[#This Row],[min_res]],Granger_Inventory[[#This Row],[min_res]],ROUND(Granger_Inventory[[#This Row],[adj_res]]*Lookups!$I$45,-2))</f>
        <v>209800</v>
      </c>
      <c r="CB219">
        <f>Granger_Inventory[[#This Row],[final_det]]+Granger_Inventory[[#This Row],[final_res]]</f>
        <v>209800</v>
      </c>
      <c r="CC219">
        <f>Granger_Inventory[[#This Row],[final_land]]+Granger_Inventory[[#This Row],[final_imp]]+Granger_Inventory[[#This Row],[crop_value]]</f>
        <v>284100</v>
      </c>
      <c r="CE219" t="str">
        <f t="shared" si="3"/>
        <v>update valuation set market_land =74300, market_bldg=209800, market_total =284100, market_mdno =402, market_date ='9/10/2023' where link_id = (select link_id from parcel where parcel_year = '2024' and parcel_id = '21101644437');</v>
      </c>
    </row>
    <row r="220" spans="1:83" x14ac:dyDescent="0.25">
      <c r="A220">
        <v>21101644441</v>
      </c>
      <c r="B220">
        <v>0.16</v>
      </c>
      <c r="C220">
        <v>7047</v>
      </c>
      <c r="D220" t="s">
        <v>137</v>
      </c>
      <c r="E220" t="s">
        <v>54</v>
      </c>
      <c r="F220" t="s">
        <v>54</v>
      </c>
      <c r="G220">
        <v>3</v>
      </c>
      <c r="H220" t="s">
        <v>55</v>
      </c>
      <c r="I220">
        <v>186600</v>
      </c>
      <c r="J220">
        <v>25000</v>
      </c>
      <c r="K220">
        <v>0.16</v>
      </c>
      <c r="L22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20">
        <v>0</v>
      </c>
      <c r="N220">
        <v>0</v>
      </c>
      <c r="O220">
        <v>0</v>
      </c>
      <c r="P220">
        <v>47108.068500000001</v>
      </c>
      <c r="Q220">
        <v>122298</v>
      </c>
      <c r="R220">
        <f>(Granger_Inventory[[#This Row],[ln_acres]]*Granger_Inventory[[#This Row],[coeff]])+Granger_Inventory[[#This Row],[const]]</f>
        <v>35968.626873914327</v>
      </c>
      <c r="S220" t="s">
        <v>140</v>
      </c>
      <c r="T220">
        <v>1</v>
      </c>
      <c r="U220" t="s">
        <v>64</v>
      </c>
      <c r="V220" t="s">
        <v>77</v>
      </c>
      <c r="W220">
        <v>0</v>
      </c>
      <c r="X220">
        <v>0</v>
      </c>
      <c r="Y220">
        <v>45</v>
      </c>
      <c r="Z220">
        <v>50</v>
      </c>
      <c r="AA220">
        <v>50</v>
      </c>
      <c r="AB220">
        <v>1500</v>
      </c>
      <c r="AC220">
        <v>1448</v>
      </c>
      <c r="AD220">
        <v>896</v>
      </c>
      <c r="AE220">
        <v>0</v>
      </c>
      <c r="AF220">
        <v>0</v>
      </c>
      <c r="AG220">
        <v>552</v>
      </c>
      <c r="AH220">
        <v>0</v>
      </c>
      <c r="AI220">
        <v>0</v>
      </c>
      <c r="AJ220">
        <v>312</v>
      </c>
      <c r="AK220">
        <v>0</v>
      </c>
      <c r="AL220">
        <v>172</v>
      </c>
      <c r="AM220">
        <v>56</v>
      </c>
      <c r="AN220">
        <v>0</v>
      </c>
      <c r="AO220">
        <v>0</v>
      </c>
      <c r="AP220">
        <v>7</v>
      </c>
      <c r="AQ220">
        <v>0</v>
      </c>
      <c r="AR220">
        <v>0</v>
      </c>
      <c r="AS220" t="s">
        <v>59</v>
      </c>
      <c r="AT220">
        <v>1</v>
      </c>
      <c r="AU220" t="s">
        <v>60</v>
      </c>
      <c r="AV220" t="s">
        <v>65</v>
      </c>
      <c r="AW220">
        <v>1</v>
      </c>
      <c r="AX220">
        <v>4</v>
      </c>
      <c r="AY220">
        <v>0</v>
      </c>
      <c r="AZ220">
        <v>0</v>
      </c>
      <c r="BA220">
        <v>100</v>
      </c>
      <c r="BB220">
        <v>100</v>
      </c>
      <c r="BC220">
        <v>100</v>
      </c>
      <c r="BD220">
        <v>100</v>
      </c>
      <c r="BE220">
        <v>1</v>
      </c>
      <c r="BF220">
        <v>15000</v>
      </c>
      <c r="BG220">
        <v>1000</v>
      </c>
      <c r="BH220" s="8">
        <f>Granger_Inventory[[#This Row],[land_extract]]*Lookups!$B$3</f>
        <v>21427.618862498482</v>
      </c>
      <c r="BI220" s="8">
        <f>IF(Granger_Inventory[[#This Row],[bldg_style]]="",0,Lookups!$B$2)</f>
        <v>29703.559000000001</v>
      </c>
      <c r="BJ220" s="8">
        <f>_xlfn.IFNA(VLOOKUP(Granger_Inventory[[#This Row],[quality]],Lookups!$H$2:$J$14,3,FALSE),0)</f>
        <v>36568</v>
      </c>
      <c r="BK220" s="8">
        <f>_xlfn.IFNA(VLOOKUP(Granger_Inventory[[#This Row],[condition]],Lookups!$H$17:$J$24,3,FALSE),0)</f>
        <v>33736</v>
      </c>
      <c r="BL220" s="8">
        <f>Granger_Inventory[[#This Row],[Age]]*Lookups!$B$16</f>
        <v>-10366.555</v>
      </c>
      <c r="BM220" s="8">
        <f>Granger_Inventory[[#This Row],[living_area]]*Lookups!$B$17</f>
        <v>97411.172231999997</v>
      </c>
      <c r="BN220" s="8">
        <f>(Granger_Inventory[[#This Row],[att_gar]]+Granger_Inventory[[#This Row],[blt_gar]])*Lookups!$B$18</f>
        <v>15115.646832</v>
      </c>
      <c r="BO220" s="8">
        <f>Granger_Inventory[[#This Row],[Patio]]*Lookups!$B$19</f>
        <v>3041.6453759999999</v>
      </c>
      <c r="BP220" s="8">
        <f>SUM(Granger_Inventory[[#This Row],[Intercept]:[Patio_Value]])*Granger_Inventory[[#This Row],[res_pct]]</f>
        <v>205209.46844</v>
      </c>
      <c r="BQ220" s="8">
        <f>Granger_Inventory[[#This Row],[land_value]]</f>
        <v>21427.618862498482</v>
      </c>
      <c r="BR220" s="4">
        <f>_xlfn.IFNA(VLOOKUP(Granger_Inventory[[#This Row],[quality]],Lookups!$A$25:$C$35,3,FALSE),1)</f>
        <v>0.99049976351917957</v>
      </c>
      <c r="BS220" s="4">
        <f>_xlfn.IFNA(VLOOKUP(Granger_Inventory[[#This Row],[condition]],Lookups!$A$38:$C$45,3,FALSE),1)</f>
        <v>0.92294678898076177</v>
      </c>
      <c r="BT220" s="4">
        <f>IF(Granger_Inventory[[#This Row],[decade]]="",1,_xlfn.IFNA(VLOOKUP(Granger_Inventory[[#This Row],[decade]],Lookups!$G$28:$I$42,3,FALSE),1))</f>
        <v>1.2441094871772171</v>
      </c>
      <c r="BU220" s="4">
        <f>_xlfn.IFNA(VLOOKUP(Granger_Inventory[[#This Row],[living_area_range]],Lookups!$A$48:$C$57,3,FALSE),1)</f>
        <v>0.97960506760539345</v>
      </c>
      <c r="BV220" s="4">
        <f>AVERAGE(Granger_Inventory[[#This Row],[qual_adj]:[living_range_adj]])</f>
        <v>1.0342902768206379</v>
      </c>
      <c r="BW220" s="8">
        <f>(Granger_Inventory[[#This Row],[sum_land]]-IF(Granger_Inventory[[#This Row],[no_utilities]]=1,12000,0))/IF(Granger_Inventory[[#This Row],[unbuildable]]=1,2,1)</f>
        <v>21427.618862498482</v>
      </c>
      <c r="BX220" s="8">
        <f>Granger_Inventory[[#This Row],[pre_res]]*Granger_Inventory[[#This Row],[overall_adj]]</f>
        <v>212246.15791902356</v>
      </c>
      <c r="BY22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20">
        <f>ROUND(Granger_Inventory[[#This Row],[detatched_value]]*Lookups!$I$45,-2)</f>
        <v>0</v>
      </c>
      <c r="CA220">
        <f>IF(ROUND(Granger_Inventory[[#This Row],[adj_res]]*Lookups!$I$45,-2)&lt;Granger_Inventory[[#This Row],[min_res]],Granger_Inventory[[#This Row],[min_res]],ROUND(Granger_Inventory[[#This Row],[adj_res]]*Lookups!$I$45,-2))</f>
        <v>201600</v>
      </c>
      <c r="CB220">
        <f>Granger_Inventory[[#This Row],[final_det]]+Granger_Inventory[[#This Row],[final_res]]</f>
        <v>201600</v>
      </c>
      <c r="CC220">
        <f>Granger_Inventory[[#This Row],[final_land]]+Granger_Inventory[[#This Row],[final_imp]]+Granger_Inventory[[#This Row],[crop_value]]</f>
        <v>222000</v>
      </c>
      <c r="CE220" t="str">
        <f t="shared" si="3"/>
        <v>update valuation set market_land =20400, market_bldg=201600, market_total =222000, market_mdno =402, market_date ='9/10/2023' where link_id = (select link_id from parcel where parcel_year = '2024' and parcel_id = '21101644441');</v>
      </c>
    </row>
    <row r="221" spans="1:83" x14ac:dyDescent="0.25">
      <c r="A221">
        <v>21101644442</v>
      </c>
      <c r="B221">
        <v>0.31</v>
      </c>
      <c r="C221">
        <v>13665</v>
      </c>
      <c r="D221" t="s">
        <v>137</v>
      </c>
      <c r="E221" t="s">
        <v>54</v>
      </c>
      <c r="F221" t="s">
        <v>54</v>
      </c>
      <c r="G221">
        <v>3</v>
      </c>
      <c r="H221" t="s">
        <v>55</v>
      </c>
      <c r="I221">
        <v>103100</v>
      </c>
      <c r="J221">
        <v>28600</v>
      </c>
      <c r="K221">
        <v>0.31</v>
      </c>
      <c r="L221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221">
        <v>0</v>
      </c>
      <c r="N221">
        <v>0</v>
      </c>
      <c r="O221">
        <v>0</v>
      </c>
      <c r="P221">
        <v>47108.068500000001</v>
      </c>
      <c r="Q221">
        <v>122298</v>
      </c>
      <c r="R221">
        <f>(Granger_Inventory[[#This Row],[ln_acres]]*Granger_Inventory[[#This Row],[coeff]])+Granger_Inventory[[#This Row],[const]]</f>
        <v>67125.831881325023</v>
      </c>
      <c r="S221" t="s">
        <v>69</v>
      </c>
      <c r="T221">
        <v>1</v>
      </c>
      <c r="U221" t="s">
        <v>78</v>
      </c>
      <c r="V221" t="s">
        <v>77</v>
      </c>
      <c r="W221">
        <v>0</v>
      </c>
      <c r="X221">
        <v>0</v>
      </c>
      <c r="Y221">
        <v>51</v>
      </c>
      <c r="Z221">
        <v>83</v>
      </c>
      <c r="AA221">
        <v>90</v>
      </c>
      <c r="AB221">
        <v>1500</v>
      </c>
      <c r="AC221">
        <v>1376</v>
      </c>
      <c r="AD221">
        <v>1376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224</v>
      </c>
      <c r="AL221">
        <v>0</v>
      </c>
      <c r="AM221">
        <v>0</v>
      </c>
      <c r="AN221">
        <v>0</v>
      </c>
      <c r="AO221">
        <v>0</v>
      </c>
      <c r="AP221">
        <v>5</v>
      </c>
      <c r="AQ221">
        <v>0</v>
      </c>
      <c r="AR221">
        <v>0</v>
      </c>
      <c r="AS221" t="s">
        <v>59</v>
      </c>
      <c r="AT221">
        <v>1</v>
      </c>
      <c r="AU221" t="s">
        <v>68</v>
      </c>
      <c r="AV221" t="s">
        <v>65</v>
      </c>
      <c r="AW221">
        <v>0</v>
      </c>
      <c r="AX221">
        <v>3</v>
      </c>
      <c r="AY221">
        <v>0</v>
      </c>
      <c r="AZ221">
        <v>0</v>
      </c>
      <c r="BA221">
        <v>100</v>
      </c>
      <c r="BB221">
        <v>100</v>
      </c>
      <c r="BC221">
        <v>100</v>
      </c>
      <c r="BD221">
        <v>100</v>
      </c>
      <c r="BE221">
        <v>1</v>
      </c>
      <c r="BF221">
        <v>15000</v>
      </c>
      <c r="BG221">
        <v>1000</v>
      </c>
      <c r="BH221" s="8">
        <f>Granger_Inventory[[#This Row],[land_extract]]*Lookups!$B$3</f>
        <v>39988.925527327257</v>
      </c>
      <c r="BI221" s="8">
        <f>IF(Granger_Inventory[[#This Row],[bldg_style]]="",0,Lookups!$B$2)</f>
        <v>29703.559000000001</v>
      </c>
      <c r="BJ221" s="8">
        <f>_xlfn.IFNA(VLOOKUP(Granger_Inventory[[#This Row],[quality]],Lookups!$H$2:$J$14,3,FALSE),0)</f>
        <v>23737.786340274597</v>
      </c>
      <c r="BK221" s="8">
        <f>_xlfn.IFNA(VLOOKUP(Granger_Inventory[[#This Row],[condition]],Lookups!$H$17:$J$24,3,FALSE),0)</f>
        <v>33736</v>
      </c>
      <c r="BL221" s="8">
        <f>Granger_Inventory[[#This Row],[Age]]*Lookups!$B$16</f>
        <v>-17208.481299999999</v>
      </c>
      <c r="BM221" s="8">
        <f>Granger_Inventory[[#This Row],[living_area]]*Lookups!$B$17</f>
        <v>92567.522784000001</v>
      </c>
      <c r="BN221" s="8">
        <f>(Granger_Inventory[[#This Row],[att_gar]]+Granger_Inventory[[#This Row],[blt_gar]])*Lookups!$B$18</f>
        <v>0</v>
      </c>
      <c r="BO221" s="8">
        <f>Granger_Inventory[[#This Row],[Patio]]*Lookups!$B$19</f>
        <v>0</v>
      </c>
      <c r="BP221" s="8">
        <f>SUM(Granger_Inventory[[#This Row],[Intercept]:[Patio_Value]])*Granger_Inventory[[#This Row],[res_pct]]</f>
        <v>162536.38682427461</v>
      </c>
      <c r="BQ221" s="8">
        <f>Granger_Inventory[[#This Row],[land_value]]</f>
        <v>39988.925527327257</v>
      </c>
      <c r="BR221" s="4">
        <f>_xlfn.IFNA(VLOOKUP(Granger_Inventory[[#This Row],[quality]],Lookups!$A$25:$C$35,3,FALSE),1)</f>
        <v>0.77695375541795109</v>
      </c>
      <c r="BS221" s="4">
        <f>_xlfn.IFNA(VLOOKUP(Granger_Inventory[[#This Row],[condition]],Lookups!$A$38:$C$45,3,FALSE),1)</f>
        <v>0.92294678898076177</v>
      </c>
      <c r="BT221" s="4">
        <f>IF(Granger_Inventory[[#This Row],[decade]]="",1,_xlfn.IFNA(VLOOKUP(Granger_Inventory[[#This Row],[decade]],Lookups!$G$28:$I$42,3,FALSE),1))</f>
        <v>0.95234610137492615</v>
      </c>
      <c r="BU221" s="4">
        <f>_xlfn.IFNA(VLOOKUP(Granger_Inventory[[#This Row],[living_area_range]],Lookups!$A$48:$C$57,3,FALSE),1)</f>
        <v>0.97960506760539345</v>
      </c>
      <c r="BV221" s="4">
        <f>AVERAGE(Granger_Inventory[[#This Row],[qual_adj]:[living_range_adj]])</f>
        <v>0.90796292834475811</v>
      </c>
      <c r="BW221" s="8">
        <f>(Granger_Inventory[[#This Row],[sum_land]]-IF(Granger_Inventory[[#This Row],[no_utilities]]=1,12000,0))/IF(Granger_Inventory[[#This Row],[unbuildable]]=1,2,1)</f>
        <v>39988.925527327257</v>
      </c>
      <c r="BX221" s="8">
        <f>Granger_Inventory[[#This Row],[pre_res]]*Granger_Inventory[[#This Row],[overall_adj]]</f>
        <v>147577.01374354473</v>
      </c>
      <c r="BY221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221">
        <f>ROUND(Granger_Inventory[[#This Row],[detatched_value]]*Lookups!$I$45,-2)</f>
        <v>0</v>
      </c>
      <c r="CA221">
        <f>IF(ROUND(Granger_Inventory[[#This Row],[adj_res]]*Lookups!$I$45,-2)&lt;Granger_Inventory[[#This Row],[min_res]],Granger_Inventory[[#This Row],[min_res]],ROUND(Granger_Inventory[[#This Row],[adj_res]]*Lookups!$I$45,-2))</f>
        <v>140200</v>
      </c>
      <c r="CB221">
        <f>Granger_Inventory[[#This Row],[final_det]]+Granger_Inventory[[#This Row],[final_res]]</f>
        <v>140200</v>
      </c>
      <c r="CC221">
        <f>Granger_Inventory[[#This Row],[final_land]]+Granger_Inventory[[#This Row],[final_imp]]+Granger_Inventory[[#This Row],[crop_value]]</f>
        <v>178200</v>
      </c>
      <c r="CE221" t="str">
        <f t="shared" si="3"/>
        <v>update valuation set market_land =38000, market_bldg=140200, market_total =178200, market_mdno =402, market_date ='9/10/2023' where link_id = (select link_id from parcel where parcel_year = '2024' and parcel_id = '21101644442');</v>
      </c>
    </row>
    <row r="222" spans="1:83" x14ac:dyDescent="0.25">
      <c r="A222">
        <v>21101644445</v>
      </c>
      <c r="B222">
        <v>0.19</v>
      </c>
      <c r="C222" t="s">
        <v>137</v>
      </c>
      <c r="D222">
        <v>0.19</v>
      </c>
      <c r="E222" t="s">
        <v>54</v>
      </c>
      <c r="F222" t="s">
        <v>54</v>
      </c>
      <c r="G222">
        <v>3</v>
      </c>
      <c r="H222" t="s">
        <v>55</v>
      </c>
      <c r="I222">
        <v>372100</v>
      </c>
      <c r="J222">
        <v>25900</v>
      </c>
      <c r="K222">
        <v>0.19</v>
      </c>
      <c r="L222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22">
        <v>0</v>
      </c>
      <c r="N222">
        <v>0</v>
      </c>
      <c r="O222">
        <v>0</v>
      </c>
      <c r="P222">
        <v>47108.068500000001</v>
      </c>
      <c r="Q222">
        <v>122298</v>
      </c>
      <c r="R222">
        <f>(Granger_Inventory[[#This Row],[ln_acres]]*Granger_Inventory[[#This Row],[coeff]])+Granger_Inventory[[#This Row],[const]]</f>
        <v>44064.160548957996</v>
      </c>
      <c r="S222" t="s">
        <v>62</v>
      </c>
      <c r="T222">
        <v>1</v>
      </c>
      <c r="U222" t="s">
        <v>74</v>
      </c>
      <c r="V222" t="s">
        <v>58</v>
      </c>
      <c r="W222">
        <v>30700</v>
      </c>
      <c r="X222">
        <v>0</v>
      </c>
      <c r="Y222">
        <v>1</v>
      </c>
      <c r="Z222">
        <v>1</v>
      </c>
      <c r="AA222">
        <v>10</v>
      </c>
      <c r="AB222">
        <v>2500</v>
      </c>
      <c r="AC222">
        <v>2140</v>
      </c>
      <c r="AD222">
        <v>2140</v>
      </c>
      <c r="AE222">
        <v>0</v>
      </c>
      <c r="AF222">
        <v>0</v>
      </c>
      <c r="AG222">
        <v>0</v>
      </c>
      <c r="AH222">
        <v>0</v>
      </c>
      <c r="AI222">
        <v>484</v>
      </c>
      <c r="AJ222">
        <v>0</v>
      </c>
      <c r="AK222">
        <v>0</v>
      </c>
      <c r="AL222">
        <v>0</v>
      </c>
      <c r="AM222">
        <v>0</v>
      </c>
      <c r="AN222">
        <v>618</v>
      </c>
      <c r="AO222">
        <v>0</v>
      </c>
      <c r="AP222">
        <v>13</v>
      </c>
      <c r="AQ222">
        <v>0</v>
      </c>
      <c r="AR222">
        <v>0</v>
      </c>
      <c r="AS222" t="s">
        <v>59</v>
      </c>
      <c r="AT222">
        <v>1</v>
      </c>
      <c r="AU222" t="s">
        <v>63</v>
      </c>
      <c r="AV222" t="s">
        <v>61</v>
      </c>
      <c r="AW222">
        <v>1</v>
      </c>
      <c r="AX222">
        <v>4</v>
      </c>
      <c r="AY222">
        <v>0</v>
      </c>
      <c r="AZ222">
        <v>0</v>
      </c>
      <c r="BA222">
        <v>100</v>
      </c>
      <c r="BB222">
        <v>100</v>
      </c>
      <c r="BC222">
        <v>100</v>
      </c>
      <c r="BD222">
        <v>100</v>
      </c>
      <c r="BE222">
        <v>1</v>
      </c>
      <c r="BF222">
        <v>15000</v>
      </c>
      <c r="BG222">
        <v>1000</v>
      </c>
      <c r="BH222" s="8">
        <f>Granger_Inventory[[#This Row],[land_extract]]*Lookups!$B$3</f>
        <v>26250.377615159185</v>
      </c>
      <c r="BI222" s="8">
        <f>IF(Granger_Inventory[[#This Row],[bldg_style]]="",0,Lookups!$B$2)</f>
        <v>29703.559000000001</v>
      </c>
      <c r="BJ222" s="8">
        <f>_xlfn.IFNA(VLOOKUP(Granger_Inventory[[#This Row],[quality]],Lookups!$H$2:$J$14,3,FALSE),0)</f>
        <v>94366</v>
      </c>
      <c r="BK222" s="8">
        <f>_xlfn.IFNA(VLOOKUP(Granger_Inventory[[#This Row],[condition]],Lookups!$H$17:$J$24,3,FALSE),0)</f>
        <v>101774</v>
      </c>
      <c r="BL222" s="8">
        <f>Granger_Inventory[[#This Row],[Age]]*Lookups!$B$16</f>
        <v>-207.33109999999999</v>
      </c>
      <c r="BM222" s="8">
        <f>Granger_Inventory[[#This Row],[living_area]]*Lookups!$B$17</f>
        <v>143964.02525999999</v>
      </c>
      <c r="BN222" s="8">
        <f>(Granger_Inventory[[#This Row],[att_gar]]+Granger_Inventory[[#This Row],[blt_gar]])*Lookups!$B$18</f>
        <v>23448.631624000001</v>
      </c>
      <c r="BO222" s="8">
        <f>Granger_Inventory[[#This Row],[Patio]]*Lookups!$B$19</f>
        <v>0</v>
      </c>
      <c r="BP222" s="8">
        <f>SUM(Granger_Inventory[[#This Row],[Intercept]:[Patio_Value]])*Granger_Inventory[[#This Row],[res_pct]]</f>
        <v>393048.88478399999</v>
      </c>
      <c r="BQ222" s="8">
        <f>Granger_Inventory[[#This Row],[land_value]]</f>
        <v>26250.377615159185</v>
      </c>
      <c r="BR222" s="4">
        <f>_xlfn.IFNA(VLOOKUP(Granger_Inventory[[#This Row],[quality]],Lookups!$A$25:$C$35,3,FALSE),1)</f>
        <v>0.99995754169072248</v>
      </c>
      <c r="BS222" s="4">
        <f>_xlfn.IFNA(VLOOKUP(Granger_Inventory[[#This Row],[condition]],Lookups!$A$38:$C$45,3,FALSE),1)</f>
        <v>0.99135053432734199</v>
      </c>
      <c r="BT222" s="4">
        <f>IF(Granger_Inventory[[#This Row],[decade]]="",1,_xlfn.IFNA(VLOOKUP(Granger_Inventory[[#This Row],[decade]],Lookups!$G$28:$I$42,3,FALSE),1))</f>
        <v>0.95532362136731586</v>
      </c>
      <c r="BU222" s="4">
        <f>_xlfn.IFNA(VLOOKUP(Granger_Inventory[[#This Row],[living_area_range]],Lookups!$A$48:$C$57,3,FALSE),1)</f>
        <v>1.0000039906678986</v>
      </c>
      <c r="BV222" s="4">
        <f>AVERAGE(Granger_Inventory[[#This Row],[qual_adj]:[living_range_adj]])</f>
        <v>0.98665892201331973</v>
      </c>
      <c r="BW222" s="8">
        <f>(Granger_Inventory[[#This Row],[sum_land]]-IF(Granger_Inventory[[#This Row],[no_utilities]]=1,12000,0))/IF(Granger_Inventory[[#This Row],[unbuildable]]=1,2,1)</f>
        <v>26250.377615159185</v>
      </c>
      <c r="BX222" s="8">
        <f>Granger_Inventory[[#This Row],[pre_res]]*Granger_Inventory[[#This Row],[overall_adj]]</f>
        <v>387805.18895951891</v>
      </c>
      <c r="BY222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22">
        <f>ROUND(Granger_Inventory[[#This Row],[detatched_value]]*Lookups!$I$45,-2)</f>
        <v>0</v>
      </c>
      <c r="CA222">
        <f>IF(ROUND(Granger_Inventory[[#This Row],[adj_res]]*Lookups!$I$45,-2)&lt;Granger_Inventory[[#This Row],[min_res]],Granger_Inventory[[#This Row],[min_res]],ROUND(Granger_Inventory[[#This Row],[adj_res]]*Lookups!$I$45,-2))</f>
        <v>368400</v>
      </c>
      <c r="CB222">
        <f>Granger_Inventory[[#This Row],[final_det]]+Granger_Inventory[[#This Row],[final_res]]</f>
        <v>368400</v>
      </c>
      <c r="CC222">
        <f>Granger_Inventory[[#This Row],[final_land]]+Granger_Inventory[[#This Row],[final_imp]]+Granger_Inventory[[#This Row],[crop_value]]</f>
        <v>393300</v>
      </c>
      <c r="CE222" t="str">
        <f t="shared" si="3"/>
        <v>update valuation set market_land =24900, market_bldg=368400, market_total =393300, market_mdno =402, market_date ='9/10/2023' where link_id = (select link_id from parcel where parcel_year = '2024' and parcel_id = '21101644445');</v>
      </c>
    </row>
    <row r="223" spans="1:83" x14ac:dyDescent="0.25">
      <c r="A223">
        <v>21101644446</v>
      </c>
      <c r="B223">
        <v>0.24</v>
      </c>
      <c r="C223" t="s">
        <v>137</v>
      </c>
      <c r="D223" t="s">
        <v>137</v>
      </c>
      <c r="E223" t="s">
        <v>54</v>
      </c>
      <c r="F223" t="s">
        <v>54</v>
      </c>
      <c r="G223">
        <v>3</v>
      </c>
      <c r="H223" t="s">
        <v>55</v>
      </c>
      <c r="I223">
        <v>252600</v>
      </c>
      <c r="J223">
        <v>27200</v>
      </c>
      <c r="K223">
        <v>0.24</v>
      </c>
      <c r="L223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223">
        <v>0</v>
      </c>
      <c r="N223">
        <v>0</v>
      </c>
      <c r="O223">
        <v>0</v>
      </c>
      <c r="P223">
        <v>47108.068500000001</v>
      </c>
      <c r="Q223">
        <v>122298</v>
      </c>
      <c r="R223">
        <f>(Granger_Inventory[[#This Row],[ln_acres]]*Granger_Inventory[[#This Row],[coeff]])+Granger_Inventory[[#This Row],[const]]</f>
        <v>55069.304961033646</v>
      </c>
      <c r="S223" t="s">
        <v>56</v>
      </c>
      <c r="T223">
        <v>1</v>
      </c>
      <c r="U223" t="s">
        <v>57</v>
      </c>
      <c r="V223" t="s">
        <v>77</v>
      </c>
      <c r="W223">
        <v>0</v>
      </c>
      <c r="X223">
        <v>0</v>
      </c>
      <c r="Y223">
        <v>50</v>
      </c>
      <c r="Z223">
        <v>72</v>
      </c>
      <c r="AA223">
        <v>80</v>
      </c>
      <c r="AB223">
        <v>2500</v>
      </c>
      <c r="AC223">
        <v>2484</v>
      </c>
      <c r="AD223">
        <v>1656</v>
      </c>
      <c r="AE223">
        <v>0</v>
      </c>
      <c r="AF223">
        <v>0</v>
      </c>
      <c r="AG223">
        <v>828</v>
      </c>
      <c r="AH223">
        <v>828</v>
      </c>
      <c r="AI223">
        <v>0</v>
      </c>
      <c r="AJ223">
        <v>0</v>
      </c>
      <c r="AK223">
        <v>0</v>
      </c>
      <c r="AL223">
        <v>0</v>
      </c>
      <c r="AM223">
        <v>436</v>
      </c>
      <c r="AN223">
        <v>0</v>
      </c>
      <c r="AO223">
        <v>336</v>
      </c>
      <c r="AP223">
        <v>11</v>
      </c>
      <c r="AQ223">
        <v>0</v>
      </c>
      <c r="AR223">
        <v>1</v>
      </c>
      <c r="AS223" t="s">
        <v>59</v>
      </c>
      <c r="AT223">
        <v>1</v>
      </c>
      <c r="AU223" t="s">
        <v>60</v>
      </c>
      <c r="AV223" t="s">
        <v>61</v>
      </c>
      <c r="AW223">
        <v>1</v>
      </c>
      <c r="AX223">
        <v>5</v>
      </c>
      <c r="AY223">
        <v>0</v>
      </c>
      <c r="AZ223">
        <v>0</v>
      </c>
      <c r="BA223">
        <v>100</v>
      </c>
      <c r="BB223">
        <v>100</v>
      </c>
      <c r="BC223">
        <v>100</v>
      </c>
      <c r="BD223">
        <v>100</v>
      </c>
      <c r="BE223">
        <v>1</v>
      </c>
      <c r="BF223">
        <v>15000</v>
      </c>
      <c r="BG223">
        <v>1000</v>
      </c>
      <c r="BH223" s="8">
        <f>Granger_Inventory[[#This Row],[land_extract]]*Lookups!$B$3</f>
        <v>32806.481099880541</v>
      </c>
      <c r="BI223" s="8">
        <f>IF(Granger_Inventory[[#This Row],[bldg_style]]="",0,Lookups!$B$2)</f>
        <v>29703.559000000001</v>
      </c>
      <c r="BJ223" s="8">
        <f>_xlfn.IFNA(VLOOKUP(Granger_Inventory[[#This Row],[quality]],Lookups!$H$2:$J$14,3,FALSE),0)</f>
        <v>56414</v>
      </c>
      <c r="BK223" s="8">
        <f>_xlfn.IFNA(VLOOKUP(Granger_Inventory[[#This Row],[condition]],Lookups!$H$17:$J$24,3,FALSE),0)</f>
        <v>33736</v>
      </c>
      <c r="BL223" s="8">
        <f>Granger_Inventory[[#This Row],[Age]]*Lookups!$B$16</f>
        <v>-14927.839199999999</v>
      </c>
      <c r="BM223" s="8">
        <f>Granger_Inventory[[#This Row],[living_area]]*Lookups!$B$17</f>
        <v>167105.905956</v>
      </c>
      <c r="BN223" s="8">
        <f>(Granger_Inventory[[#This Row],[att_gar]]+Granger_Inventory[[#This Row],[blt_gar]])*Lookups!$B$18</f>
        <v>0</v>
      </c>
      <c r="BO223" s="8">
        <f>Granger_Inventory[[#This Row],[Patio]]*Lookups!$B$19</f>
        <v>23681.381856</v>
      </c>
      <c r="BP223" s="8">
        <f>SUM(Granger_Inventory[[#This Row],[Intercept]:[Patio_Value]])*Granger_Inventory[[#This Row],[res_pct]]</f>
        <v>295713.00761199999</v>
      </c>
      <c r="BQ223" s="8">
        <f>Granger_Inventory[[#This Row],[land_value]]</f>
        <v>32806.481099880541</v>
      </c>
      <c r="BR223" s="4">
        <f>_xlfn.IFNA(VLOOKUP(Granger_Inventory[[#This Row],[quality]],Lookups!$A$25:$C$35,3,FALSE),1)</f>
        <v>0.98791809110152173</v>
      </c>
      <c r="BS223" s="4">
        <f>_xlfn.IFNA(VLOOKUP(Granger_Inventory[[#This Row],[condition]],Lookups!$A$38:$C$45,3,FALSE),1)</f>
        <v>0.92294678898076177</v>
      </c>
      <c r="BT223" s="4">
        <f>IF(Granger_Inventory[[#This Row],[decade]]="",1,_xlfn.IFNA(VLOOKUP(Granger_Inventory[[#This Row],[decade]],Lookups!$G$28:$I$42,3,FALSE),1))</f>
        <v>0.76006056002554967</v>
      </c>
      <c r="BU223" s="4">
        <f>_xlfn.IFNA(VLOOKUP(Granger_Inventory[[#This Row],[living_area_range]],Lookups!$A$48:$C$57,3,FALSE),1)</f>
        <v>1.0000039906678986</v>
      </c>
      <c r="BV223" s="4">
        <f>AVERAGE(Granger_Inventory[[#This Row],[qual_adj]:[living_range_adj]])</f>
        <v>0.91773235769393291</v>
      </c>
      <c r="BW223" s="8">
        <f>(Granger_Inventory[[#This Row],[sum_land]]-IF(Granger_Inventory[[#This Row],[no_utilities]]=1,12000,0))/IF(Granger_Inventory[[#This Row],[unbuildable]]=1,2,1)</f>
        <v>32806.481099880541</v>
      </c>
      <c r="BX223" s="8">
        <f>Granger_Inventory[[#This Row],[pre_res]]*Granger_Inventory[[#This Row],[overall_adj]]</f>
        <v>271385.39567652467</v>
      </c>
      <c r="BY223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223">
        <f>ROUND(Granger_Inventory[[#This Row],[detatched_value]]*Lookups!$I$45,-2)</f>
        <v>0</v>
      </c>
      <c r="CA223">
        <f>IF(ROUND(Granger_Inventory[[#This Row],[adj_res]]*Lookups!$I$45,-2)&lt;Granger_Inventory[[#This Row],[min_res]],Granger_Inventory[[#This Row],[min_res]],ROUND(Granger_Inventory[[#This Row],[adj_res]]*Lookups!$I$45,-2))</f>
        <v>257800</v>
      </c>
      <c r="CB223">
        <f>Granger_Inventory[[#This Row],[final_det]]+Granger_Inventory[[#This Row],[final_res]]</f>
        <v>257800</v>
      </c>
      <c r="CC223">
        <f>Granger_Inventory[[#This Row],[final_land]]+Granger_Inventory[[#This Row],[final_imp]]+Granger_Inventory[[#This Row],[crop_value]]</f>
        <v>289000</v>
      </c>
      <c r="CE223" t="str">
        <f t="shared" si="3"/>
        <v>update valuation set market_land =31200, market_bldg=257800, market_total =289000, market_mdno =402, market_date ='9/10/2023' where link_id = (select link_id from parcel where parcel_year = '2024' and parcel_id = '21101644446');</v>
      </c>
    </row>
    <row r="224" spans="1:83" x14ac:dyDescent="0.25">
      <c r="A224">
        <v>21101644453</v>
      </c>
      <c r="B224">
        <v>0.56000000000000005</v>
      </c>
      <c r="C224">
        <v>24304</v>
      </c>
      <c r="D224" t="s">
        <v>137</v>
      </c>
      <c r="E224" t="s">
        <v>54</v>
      </c>
      <c r="F224" t="s">
        <v>54</v>
      </c>
      <c r="G224">
        <v>3</v>
      </c>
      <c r="H224" t="s">
        <v>55</v>
      </c>
      <c r="I224">
        <v>45900</v>
      </c>
      <c r="J224">
        <v>31900</v>
      </c>
      <c r="K224">
        <v>0.56000000000000005</v>
      </c>
      <c r="L224">
        <f>IF(Granger_Inventory[[#This Row],[parcel_acres]]-Granger_Inventory[[#This Row],[non_valued_acres]] =0,0,LN(Granger_Inventory[[#This Row],[parcel_acres]]-Granger_Inventory[[#This Row],[non_valued_acres]]))</f>
        <v>-0.57981849525294205</v>
      </c>
      <c r="M224">
        <v>0</v>
      </c>
      <c r="N224">
        <v>0</v>
      </c>
      <c r="O224">
        <v>0</v>
      </c>
      <c r="P224">
        <v>47108.068500000001</v>
      </c>
      <c r="Q224">
        <v>122298</v>
      </c>
      <c r="R224">
        <f>(Granger_Inventory[[#This Row],[ln_acres]]*Granger_Inventory[[#This Row],[coeff]])+Granger_Inventory[[#This Row],[const]]</f>
        <v>94983.870608057478</v>
      </c>
      <c r="S224" t="s">
        <v>56</v>
      </c>
      <c r="T224">
        <v>1</v>
      </c>
      <c r="U224" t="s">
        <v>78</v>
      </c>
      <c r="V224" t="s">
        <v>77</v>
      </c>
      <c r="W224">
        <v>0</v>
      </c>
      <c r="X224">
        <v>0</v>
      </c>
      <c r="Y224">
        <v>47</v>
      </c>
      <c r="Z224">
        <v>58</v>
      </c>
      <c r="AA224">
        <v>60</v>
      </c>
      <c r="AB224">
        <v>1000</v>
      </c>
      <c r="AC224">
        <v>880</v>
      </c>
      <c r="AD224">
        <v>880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5</v>
      </c>
      <c r="AQ224">
        <v>0</v>
      </c>
      <c r="AR224">
        <v>0</v>
      </c>
      <c r="AS224" t="s">
        <v>59</v>
      </c>
      <c r="AT224">
        <v>1</v>
      </c>
      <c r="AU224" t="s">
        <v>76</v>
      </c>
      <c r="AV224" t="s">
        <v>65</v>
      </c>
      <c r="AW224">
        <v>0</v>
      </c>
      <c r="AX224">
        <v>2</v>
      </c>
      <c r="AY224">
        <v>0</v>
      </c>
      <c r="AZ224">
        <v>0</v>
      </c>
      <c r="BA224">
        <v>100</v>
      </c>
      <c r="BB224">
        <v>100</v>
      </c>
      <c r="BC224">
        <v>100</v>
      </c>
      <c r="BD224">
        <v>100</v>
      </c>
      <c r="BE224">
        <v>1</v>
      </c>
      <c r="BF224">
        <v>15000</v>
      </c>
      <c r="BG224">
        <v>1000</v>
      </c>
      <c r="BH224" s="8">
        <f>Granger_Inventory[[#This Row],[land_extract]]*Lookups!$B$3</f>
        <v>56584.81722443457</v>
      </c>
      <c r="BI224" s="8">
        <f>IF(Granger_Inventory[[#This Row],[bldg_style]]="",0,Lookups!$B$2)</f>
        <v>29703.559000000001</v>
      </c>
      <c r="BJ224" s="8">
        <f>_xlfn.IFNA(VLOOKUP(Granger_Inventory[[#This Row],[quality]],Lookups!$H$2:$J$14,3,FALSE),0)</f>
        <v>23737.786340274597</v>
      </c>
      <c r="BK224" s="8">
        <f>_xlfn.IFNA(VLOOKUP(Granger_Inventory[[#This Row],[condition]],Lookups!$H$17:$J$24,3,FALSE),0)</f>
        <v>33736</v>
      </c>
      <c r="BL224" s="8">
        <f>Granger_Inventory[[#This Row],[Age]]*Lookups!$B$16</f>
        <v>-12025.203799999999</v>
      </c>
      <c r="BM224" s="8">
        <f>Granger_Inventory[[#This Row],[living_area]]*Lookups!$B$17</f>
        <v>59200.159919999998</v>
      </c>
      <c r="BN224" s="8">
        <f>(Granger_Inventory[[#This Row],[att_gar]]+Granger_Inventory[[#This Row],[blt_gar]])*Lookups!$B$18</f>
        <v>0</v>
      </c>
      <c r="BO224" s="8">
        <f>Granger_Inventory[[#This Row],[Patio]]*Lookups!$B$19</f>
        <v>0</v>
      </c>
      <c r="BP224" s="8">
        <f>SUM(Granger_Inventory[[#This Row],[Intercept]:[Patio_Value]])*Granger_Inventory[[#This Row],[res_pct]]</f>
        <v>134352.30146027458</v>
      </c>
      <c r="BQ224" s="8">
        <f>Granger_Inventory[[#This Row],[land_value]]</f>
        <v>56584.81722443457</v>
      </c>
      <c r="BR224" s="4">
        <f>_xlfn.IFNA(VLOOKUP(Granger_Inventory[[#This Row],[quality]],Lookups!$A$25:$C$35,3,FALSE),1)</f>
        <v>0.77695375541795109</v>
      </c>
      <c r="BS224" s="4">
        <f>_xlfn.IFNA(VLOOKUP(Granger_Inventory[[#This Row],[condition]],Lookups!$A$38:$C$45,3,FALSE),1)</f>
        <v>0.92294678898076177</v>
      </c>
      <c r="BT224" s="4">
        <f>IF(Granger_Inventory[[#This Row],[decade]]="",1,_xlfn.IFNA(VLOOKUP(Granger_Inventory[[#This Row],[decade]],Lookups!$G$28:$I$42,3,FALSE),1))</f>
        <v>0.86581421791274704</v>
      </c>
      <c r="BU224" s="4">
        <f>_xlfn.IFNA(VLOOKUP(Granger_Inventory[[#This Row],[living_area_range]],Lookups!$A$48:$C$57,3,FALSE),1)</f>
        <v>0.81272404900450645</v>
      </c>
      <c r="BV224" s="4">
        <f>AVERAGE(Granger_Inventory[[#This Row],[qual_adj]:[living_range_adj]])</f>
        <v>0.84460970282899162</v>
      </c>
      <c r="BW224" s="8">
        <f>(Granger_Inventory[[#This Row],[sum_land]]-IF(Granger_Inventory[[#This Row],[no_utilities]]=1,12000,0))/IF(Granger_Inventory[[#This Row],[unbuildable]]=1,2,1)</f>
        <v>56584.81722443457</v>
      </c>
      <c r="BX224" s="8">
        <f>Granger_Inventory[[#This Row],[pre_res]]*Granger_Inventory[[#This Row],[overall_adj]]</f>
        <v>113475.25741075361</v>
      </c>
      <c r="BY224">
        <f>IF(ROUND(Granger_Inventory[[#This Row],[adj_land]]*Lookups!$I$45,-2)&lt;Granger_Inventory[[#This Row],[min_land]],Granger_Inventory[[#This Row],[min_land]],ROUND(Granger_Inventory[[#This Row],[adj_land]]*Lookups!$I$45,-2))</f>
        <v>53800</v>
      </c>
      <c r="BZ224">
        <f>ROUND(Granger_Inventory[[#This Row],[detatched_value]]*Lookups!$I$45,-2)</f>
        <v>0</v>
      </c>
      <c r="CA224">
        <f>IF(ROUND(Granger_Inventory[[#This Row],[adj_res]]*Lookups!$I$45,-2)&lt;Granger_Inventory[[#This Row],[min_res]],Granger_Inventory[[#This Row],[min_res]],ROUND(Granger_Inventory[[#This Row],[adj_res]]*Lookups!$I$45,-2))</f>
        <v>107800</v>
      </c>
      <c r="CB224">
        <f>Granger_Inventory[[#This Row],[final_det]]+Granger_Inventory[[#This Row],[final_res]]</f>
        <v>107800</v>
      </c>
      <c r="CC224">
        <f>Granger_Inventory[[#This Row],[final_land]]+Granger_Inventory[[#This Row],[final_imp]]+Granger_Inventory[[#This Row],[crop_value]]</f>
        <v>161600</v>
      </c>
      <c r="CE224" t="str">
        <f t="shared" si="3"/>
        <v>update valuation set market_land =53800, market_bldg=107800, market_total =161600, market_mdno =402, market_date ='9/10/2023' where link_id = (select link_id from parcel where parcel_year = '2024' and parcel_id = '21101644453');</v>
      </c>
    </row>
    <row r="225" spans="1:83" x14ac:dyDescent="0.25">
      <c r="A225">
        <v>21101644454</v>
      </c>
      <c r="B225">
        <v>0.19</v>
      </c>
      <c r="C225">
        <v>8215</v>
      </c>
      <c r="D225" t="s">
        <v>137</v>
      </c>
      <c r="E225" t="s">
        <v>54</v>
      </c>
      <c r="F225" t="s">
        <v>54</v>
      </c>
      <c r="G225">
        <v>3</v>
      </c>
      <c r="H225" t="s">
        <v>55</v>
      </c>
      <c r="I225">
        <v>157300</v>
      </c>
      <c r="J225">
        <v>25900</v>
      </c>
      <c r="K225">
        <v>0.19</v>
      </c>
      <c r="L225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25">
        <v>0</v>
      </c>
      <c r="N225">
        <v>0</v>
      </c>
      <c r="O225">
        <v>0</v>
      </c>
      <c r="P225">
        <v>47108.068500000001</v>
      </c>
      <c r="Q225">
        <v>122298</v>
      </c>
      <c r="R225">
        <f>(Granger_Inventory[[#This Row],[ln_acres]]*Granger_Inventory[[#This Row],[coeff]])+Granger_Inventory[[#This Row],[const]]</f>
        <v>44064.160548957996</v>
      </c>
      <c r="S225" t="s">
        <v>69</v>
      </c>
      <c r="T225">
        <v>1</v>
      </c>
      <c r="U225" t="s">
        <v>71</v>
      </c>
      <c r="V225" t="s">
        <v>72</v>
      </c>
      <c r="W225">
        <v>0</v>
      </c>
      <c r="X225">
        <v>0</v>
      </c>
      <c r="Y225">
        <v>51</v>
      </c>
      <c r="Z225">
        <v>83</v>
      </c>
      <c r="AA225">
        <v>90</v>
      </c>
      <c r="AB225">
        <v>1500</v>
      </c>
      <c r="AC225">
        <v>1188</v>
      </c>
      <c r="AD225">
        <v>1188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196</v>
      </c>
      <c r="AN225">
        <v>0</v>
      </c>
      <c r="AO225">
        <v>196</v>
      </c>
      <c r="AP225">
        <v>5</v>
      </c>
      <c r="AQ225">
        <v>0</v>
      </c>
      <c r="AR225">
        <v>0</v>
      </c>
      <c r="AS225" t="s">
        <v>59</v>
      </c>
      <c r="AT225">
        <v>1</v>
      </c>
      <c r="AU225" t="s">
        <v>60</v>
      </c>
      <c r="AV225" t="s">
        <v>61</v>
      </c>
      <c r="AW225">
        <v>0</v>
      </c>
      <c r="AX225">
        <v>3</v>
      </c>
      <c r="AY225">
        <v>0</v>
      </c>
      <c r="AZ225">
        <v>0</v>
      </c>
      <c r="BA225">
        <v>100</v>
      </c>
      <c r="BB225">
        <v>100</v>
      </c>
      <c r="BC225">
        <v>100</v>
      </c>
      <c r="BD225">
        <v>100</v>
      </c>
      <c r="BE225">
        <v>1</v>
      </c>
      <c r="BF225">
        <v>15000</v>
      </c>
      <c r="BG225">
        <v>1000</v>
      </c>
      <c r="BH225" s="8">
        <f>Granger_Inventory[[#This Row],[land_extract]]*Lookups!$B$3</f>
        <v>26250.377615159185</v>
      </c>
      <c r="BI225" s="8">
        <f>IF(Granger_Inventory[[#This Row],[bldg_style]]="",0,Lookups!$B$2)</f>
        <v>29703.559000000001</v>
      </c>
      <c r="BJ225" s="8">
        <f>_xlfn.IFNA(VLOOKUP(Granger_Inventory[[#This Row],[quality]],Lookups!$H$2:$J$14,3,FALSE),0)</f>
        <v>34195</v>
      </c>
      <c r="BK225" s="8">
        <f>_xlfn.IFNA(VLOOKUP(Granger_Inventory[[#This Row],[condition]],Lookups!$H$17:$J$24,3,FALSE),0)</f>
        <v>94106</v>
      </c>
      <c r="BL225" s="8">
        <f>Granger_Inventory[[#This Row],[Age]]*Lookups!$B$16</f>
        <v>-17208.481299999999</v>
      </c>
      <c r="BM225" s="8">
        <f>Granger_Inventory[[#This Row],[living_area]]*Lookups!$B$17</f>
        <v>79920.215891999993</v>
      </c>
      <c r="BN225" s="8">
        <f>(Granger_Inventory[[#This Row],[att_gar]]+Granger_Inventory[[#This Row],[blt_gar]])*Lookups!$B$18</f>
        <v>0</v>
      </c>
      <c r="BO225" s="8">
        <f>Granger_Inventory[[#This Row],[Patio]]*Lookups!$B$19</f>
        <v>10645.758816</v>
      </c>
      <c r="BP225" s="8">
        <f>SUM(Granger_Inventory[[#This Row],[Intercept]:[Patio_Value]])*Granger_Inventory[[#This Row],[res_pct]]</f>
        <v>231362.05240800002</v>
      </c>
      <c r="BQ225" s="8">
        <f>Granger_Inventory[[#This Row],[land_value]]</f>
        <v>26250.377615159185</v>
      </c>
      <c r="BR225" s="4">
        <f>_xlfn.IFNA(VLOOKUP(Granger_Inventory[[#This Row],[quality]],Lookups!$A$25:$C$35,3,FALSE),1)</f>
        <v>0.98258795897788032</v>
      </c>
      <c r="BS225" s="4">
        <f>_xlfn.IFNA(VLOOKUP(Granger_Inventory[[#This Row],[condition]],Lookups!$A$38:$C$45,3,FALSE),1)</f>
        <v>0.98658583151544277</v>
      </c>
      <c r="BT225" s="4">
        <f>IF(Granger_Inventory[[#This Row],[decade]]="",1,_xlfn.IFNA(VLOOKUP(Granger_Inventory[[#This Row],[decade]],Lookups!$G$28:$I$42,3,FALSE),1))</f>
        <v>0.95234610137492615</v>
      </c>
      <c r="BU225" s="4">
        <f>_xlfn.IFNA(VLOOKUP(Granger_Inventory[[#This Row],[living_area_range]],Lookups!$A$48:$C$57,3,FALSE),1)</f>
        <v>0.97960506760539345</v>
      </c>
      <c r="BV225" s="4">
        <f>AVERAGE(Granger_Inventory[[#This Row],[qual_adj]:[living_range_adj]])</f>
        <v>0.97528123986841075</v>
      </c>
      <c r="BW225" s="8">
        <f>(Granger_Inventory[[#This Row],[sum_land]]-IF(Granger_Inventory[[#This Row],[no_utilities]]=1,12000,0))/IF(Granger_Inventory[[#This Row],[unbuildable]]=1,2,1)</f>
        <v>26250.377615159185</v>
      </c>
      <c r="BX225" s="8">
        <f>Granger_Inventory[[#This Row],[pre_res]]*Granger_Inventory[[#This Row],[overall_adj]]</f>
        <v>225643.06933097448</v>
      </c>
      <c r="BY225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25">
        <f>ROUND(Granger_Inventory[[#This Row],[detatched_value]]*Lookups!$I$45,-2)</f>
        <v>0</v>
      </c>
      <c r="CA225">
        <f>IF(ROUND(Granger_Inventory[[#This Row],[adj_res]]*Lookups!$I$45,-2)&lt;Granger_Inventory[[#This Row],[min_res]],Granger_Inventory[[#This Row],[min_res]],ROUND(Granger_Inventory[[#This Row],[adj_res]]*Lookups!$I$45,-2))</f>
        <v>214400</v>
      </c>
      <c r="CB225">
        <f>Granger_Inventory[[#This Row],[final_det]]+Granger_Inventory[[#This Row],[final_res]]</f>
        <v>214400</v>
      </c>
      <c r="CC225">
        <f>Granger_Inventory[[#This Row],[final_land]]+Granger_Inventory[[#This Row],[final_imp]]+Granger_Inventory[[#This Row],[crop_value]]</f>
        <v>239300</v>
      </c>
      <c r="CE225" t="str">
        <f t="shared" si="3"/>
        <v>update valuation set market_land =24900, market_bldg=214400, market_total =239300, market_mdno =402, market_date ='9/10/2023' where link_id = (select link_id from parcel where parcel_year = '2024' and parcel_id = '21101644454');</v>
      </c>
    </row>
    <row r="226" spans="1:83" x14ac:dyDescent="0.25">
      <c r="A226">
        <v>21101644456</v>
      </c>
      <c r="B226">
        <v>0.17</v>
      </c>
      <c r="C226">
        <v>7391</v>
      </c>
      <c r="D226" t="s">
        <v>137</v>
      </c>
      <c r="E226" t="s">
        <v>54</v>
      </c>
      <c r="F226" t="s">
        <v>54</v>
      </c>
      <c r="G226">
        <v>3</v>
      </c>
      <c r="H226" t="s">
        <v>55</v>
      </c>
      <c r="I226">
        <v>105400</v>
      </c>
      <c r="J226">
        <v>25300</v>
      </c>
      <c r="K226">
        <v>0.17</v>
      </c>
      <c r="L22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226">
        <v>0</v>
      </c>
      <c r="N226">
        <v>0</v>
      </c>
      <c r="O226">
        <v>0</v>
      </c>
      <c r="P226">
        <v>47108.068500000001</v>
      </c>
      <c r="Q226">
        <v>122298</v>
      </c>
      <c r="R226">
        <f>(Granger_Inventory[[#This Row],[ln_acres]]*Granger_Inventory[[#This Row],[coeff]])+Granger_Inventory[[#This Row],[const]]</f>
        <v>38824.535711229546</v>
      </c>
      <c r="S226" t="s">
        <v>69</v>
      </c>
      <c r="T226">
        <v>1</v>
      </c>
      <c r="U226" t="s">
        <v>71</v>
      </c>
      <c r="V226" t="s">
        <v>77</v>
      </c>
      <c r="W226">
        <v>0</v>
      </c>
      <c r="X226">
        <v>0</v>
      </c>
      <c r="Y226">
        <v>51</v>
      </c>
      <c r="Z226">
        <v>82</v>
      </c>
      <c r="AA226">
        <v>90</v>
      </c>
      <c r="AB226">
        <v>1500</v>
      </c>
      <c r="AC226">
        <v>1302</v>
      </c>
      <c r="AD226">
        <v>1302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234</v>
      </c>
      <c r="AN226">
        <v>56</v>
      </c>
      <c r="AO226">
        <v>0</v>
      </c>
      <c r="AP226">
        <v>5</v>
      </c>
      <c r="AQ226">
        <v>0</v>
      </c>
      <c r="AR226">
        <v>0</v>
      </c>
      <c r="AS226" t="s">
        <v>59</v>
      </c>
      <c r="AT226">
        <v>1</v>
      </c>
      <c r="AU226" t="s">
        <v>60</v>
      </c>
      <c r="AV226" t="s">
        <v>61</v>
      </c>
      <c r="AW226">
        <v>0</v>
      </c>
      <c r="AX226">
        <v>3</v>
      </c>
      <c r="AY226">
        <v>0</v>
      </c>
      <c r="AZ226">
        <v>0</v>
      </c>
      <c r="BA226">
        <v>100</v>
      </c>
      <c r="BB226">
        <v>100</v>
      </c>
      <c r="BC226">
        <v>100</v>
      </c>
      <c r="BD226">
        <v>100</v>
      </c>
      <c r="BE226">
        <v>1</v>
      </c>
      <c r="BF226">
        <v>15000</v>
      </c>
      <c r="BG226">
        <v>1000</v>
      </c>
      <c r="BH226" s="8">
        <f>Granger_Inventory[[#This Row],[land_extract]]*Lookups!$B$3</f>
        <v>23128.971718879347</v>
      </c>
      <c r="BI226" s="8">
        <f>IF(Granger_Inventory[[#This Row],[bldg_style]]="",0,Lookups!$B$2)</f>
        <v>29703.559000000001</v>
      </c>
      <c r="BJ226" s="8">
        <f>_xlfn.IFNA(VLOOKUP(Granger_Inventory[[#This Row],[quality]],Lookups!$H$2:$J$14,3,FALSE),0)</f>
        <v>34195</v>
      </c>
      <c r="BK226" s="8">
        <f>_xlfn.IFNA(VLOOKUP(Granger_Inventory[[#This Row],[condition]],Lookups!$H$17:$J$24,3,FALSE),0)</f>
        <v>33736</v>
      </c>
      <c r="BL226" s="8">
        <f>Granger_Inventory[[#This Row],[Age]]*Lookups!$B$16</f>
        <v>-17001.1502</v>
      </c>
      <c r="BM226" s="8">
        <f>Granger_Inventory[[#This Row],[living_area]]*Lookups!$B$17</f>
        <v>87589.327517999991</v>
      </c>
      <c r="BN226" s="8">
        <f>(Granger_Inventory[[#This Row],[att_gar]]+Granger_Inventory[[#This Row],[blt_gar]])*Lookups!$B$18</f>
        <v>0</v>
      </c>
      <c r="BO226" s="8">
        <f>Granger_Inventory[[#This Row],[Patio]]*Lookups!$B$19</f>
        <v>12709.732463999999</v>
      </c>
      <c r="BP226" s="8">
        <f>SUM(Granger_Inventory[[#This Row],[Intercept]:[Patio_Value]])*Granger_Inventory[[#This Row],[res_pct]]</f>
        <v>180932.46878200001</v>
      </c>
      <c r="BQ226" s="8">
        <f>Granger_Inventory[[#This Row],[land_value]]</f>
        <v>23128.971718879347</v>
      </c>
      <c r="BR226" s="4">
        <f>_xlfn.IFNA(VLOOKUP(Granger_Inventory[[#This Row],[quality]],Lookups!$A$25:$C$35,3,FALSE),1)</f>
        <v>0.98258795897788032</v>
      </c>
      <c r="BS226" s="4">
        <f>_xlfn.IFNA(VLOOKUP(Granger_Inventory[[#This Row],[condition]],Lookups!$A$38:$C$45,3,FALSE),1)</f>
        <v>0.92294678898076177</v>
      </c>
      <c r="BT226" s="4">
        <f>IF(Granger_Inventory[[#This Row],[decade]]="",1,_xlfn.IFNA(VLOOKUP(Granger_Inventory[[#This Row],[decade]],Lookups!$G$28:$I$42,3,FALSE),1))</f>
        <v>0.95234610137492615</v>
      </c>
      <c r="BU226" s="4">
        <f>_xlfn.IFNA(VLOOKUP(Granger_Inventory[[#This Row],[living_area_range]],Lookups!$A$48:$C$57,3,FALSE),1)</f>
        <v>0.97960506760539345</v>
      </c>
      <c r="BV226" s="4">
        <f>AVERAGE(Granger_Inventory[[#This Row],[qual_adj]:[living_range_adj]])</f>
        <v>0.95937147923474042</v>
      </c>
      <c r="BW226" s="8">
        <f>(Granger_Inventory[[#This Row],[sum_land]]-IF(Granger_Inventory[[#This Row],[no_utilities]]=1,12000,0))/IF(Granger_Inventory[[#This Row],[unbuildable]]=1,2,1)</f>
        <v>23128.971718879347</v>
      </c>
      <c r="BX226" s="8">
        <f>Granger_Inventory[[#This Row],[pre_res]]*Granger_Inventory[[#This Row],[overall_adj]]</f>
        <v>173581.45021698085</v>
      </c>
      <c r="BY22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226">
        <f>ROUND(Granger_Inventory[[#This Row],[detatched_value]]*Lookups!$I$45,-2)</f>
        <v>0</v>
      </c>
      <c r="CA226">
        <f>IF(ROUND(Granger_Inventory[[#This Row],[adj_res]]*Lookups!$I$45,-2)&lt;Granger_Inventory[[#This Row],[min_res]],Granger_Inventory[[#This Row],[min_res]],ROUND(Granger_Inventory[[#This Row],[adj_res]]*Lookups!$I$45,-2))</f>
        <v>164900</v>
      </c>
      <c r="CB226">
        <f>Granger_Inventory[[#This Row],[final_det]]+Granger_Inventory[[#This Row],[final_res]]</f>
        <v>164900</v>
      </c>
      <c r="CC226">
        <f>Granger_Inventory[[#This Row],[final_land]]+Granger_Inventory[[#This Row],[final_imp]]+Granger_Inventory[[#This Row],[crop_value]]</f>
        <v>186900</v>
      </c>
      <c r="CE226" t="str">
        <f t="shared" si="3"/>
        <v>update valuation set market_land =22000, market_bldg=164900, market_total =186900, market_mdno =402, market_date ='9/10/2023' where link_id = (select link_id from parcel where parcel_year = '2024' and parcel_id = '21101644456');</v>
      </c>
    </row>
    <row r="227" spans="1:83" x14ac:dyDescent="0.25">
      <c r="A227">
        <v>21101644462</v>
      </c>
      <c r="B227">
        <v>0.2</v>
      </c>
      <c r="C227">
        <v>8790</v>
      </c>
      <c r="D227" t="s">
        <v>137</v>
      </c>
      <c r="E227" t="s">
        <v>54</v>
      </c>
      <c r="F227" t="s">
        <v>54</v>
      </c>
      <c r="G227">
        <v>3</v>
      </c>
      <c r="H227" t="s">
        <v>55</v>
      </c>
      <c r="I227">
        <v>321500</v>
      </c>
      <c r="J227">
        <v>26200</v>
      </c>
      <c r="K227">
        <v>0.2</v>
      </c>
      <c r="L227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27">
        <v>0</v>
      </c>
      <c r="N227">
        <v>0</v>
      </c>
      <c r="O227">
        <v>0</v>
      </c>
      <c r="P227">
        <v>47108.068500000001</v>
      </c>
      <c r="Q227">
        <v>122298</v>
      </c>
      <c r="R227">
        <f>(Granger_Inventory[[#This Row],[ln_acres]]*Granger_Inventory[[#This Row],[coeff]])+Granger_Inventory[[#This Row],[const]]</f>
        <v>46480.488574557399</v>
      </c>
      <c r="S227" t="s">
        <v>62</v>
      </c>
      <c r="T227">
        <v>1</v>
      </c>
      <c r="U227" t="s">
        <v>57</v>
      </c>
      <c r="V227" t="s">
        <v>58</v>
      </c>
      <c r="W227">
        <v>0</v>
      </c>
      <c r="X227">
        <v>0</v>
      </c>
      <c r="Y227">
        <v>3</v>
      </c>
      <c r="Z227">
        <v>3</v>
      </c>
      <c r="AA227">
        <v>10</v>
      </c>
      <c r="AB227">
        <v>2000</v>
      </c>
      <c r="AC227">
        <v>1775</v>
      </c>
      <c r="AD227">
        <v>1775</v>
      </c>
      <c r="AE227">
        <v>0</v>
      </c>
      <c r="AF227">
        <v>0</v>
      </c>
      <c r="AG227">
        <v>0</v>
      </c>
      <c r="AH227">
        <v>0</v>
      </c>
      <c r="AI227">
        <v>456</v>
      </c>
      <c r="AJ227">
        <v>0</v>
      </c>
      <c r="AK227">
        <v>0</v>
      </c>
      <c r="AL227">
        <v>0</v>
      </c>
      <c r="AM227">
        <v>0</v>
      </c>
      <c r="AN227">
        <v>480</v>
      </c>
      <c r="AO227">
        <v>0</v>
      </c>
      <c r="AP227">
        <v>8</v>
      </c>
      <c r="AQ227">
        <v>0</v>
      </c>
      <c r="AR227">
        <v>0</v>
      </c>
      <c r="AS227" t="s">
        <v>59</v>
      </c>
      <c r="AT227">
        <v>1</v>
      </c>
      <c r="AU227" t="s">
        <v>60</v>
      </c>
      <c r="AV227" t="s">
        <v>61</v>
      </c>
      <c r="AW227">
        <v>1</v>
      </c>
      <c r="AX227">
        <v>4</v>
      </c>
      <c r="AY227">
        <v>0</v>
      </c>
      <c r="AZ227">
        <v>0</v>
      </c>
      <c r="BA227">
        <v>100</v>
      </c>
      <c r="BB227">
        <v>100</v>
      </c>
      <c r="BC227">
        <v>100</v>
      </c>
      <c r="BD227">
        <v>100</v>
      </c>
      <c r="BE227">
        <v>1</v>
      </c>
      <c r="BF227">
        <v>15000</v>
      </c>
      <c r="BG227">
        <v>1000</v>
      </c>
      <c r="BH227" s="8">
        <f>Granger_Inventory[[#This Row],[land_extract]]*Lookups!$B$3</f>
        <v>27689.858642911939</v>
      </c>
      <c r="BI227" s="8">
        <f>IF(Granger_Inventory[[#This Row],[bldg_style]]="",0,Lookups!$B$2)</f>
        <v>29703.559000000001</v>
      </c>
      <c r="BJ227" s="8">
        <f>_xlfn.IFNA(VLOOKUP(Granger_Inventory[[#This Row],[quality]],Lookups!$H$2:$J$14,3,FALSE),0)</f>
        <v>56414</v>
      </c>
      <c r="BK227" s="8">
        <f>_xlfn.IFNA(VLOOKUP(Granger_Inventory[[#This Row],[condition]],Lookups!$H$17:$J$24,3,FALSE),0)</f>
        <v>101774</v>
      </c>
      <c r="BL227" s="8">
        <f>Granger_Inventory[[#This Row],[Age]]*Lookups!$B$16</f>
        <v>-621.99329999999998</v>
      </c>
      <c r="BM227" s="8">
        <f>Granger_Inventory[[#This Row],[living_area]]*Lookups!$B$17</f>
        <v>119409.41347499999</v>
      </c>
      <c r="BN227" s="8">
        <f>(Granger_Inventory[[#This Row],[att_gar]]+Granger_Inventory[[#This Row],[blt_gar]])*Lookups!$B$18</f>
        <v>22092.099216000002</v>
      </c>
      <c r="BO227" s="8">
        <f>Granger_Inventory[[#This Row],[Patio]]*Lookups!$B$19</f>
        <v>0</v>
      </c>
      <c r="BP227" s="8">
        <f>SUM(Granger_Inventory[[#This Row],[Intercept]:[Patio_Value]])*Granger_Inventory[[#This Row],[res_pct]]</f>
        <v>328771.07839099999</v>
      </c>
      <c r="BQ227" s="8">
        <f>Granger_Inventory[[#This Row],[land_value]]</f>
        <v>27689.858642911939</v>
      </c>
      <c r="BR227" s="4">
        <f>_xlfn.IFNA(VLOOKUP(Granger_Inventory[[#This Row],[quality]],Lookups!$A$25:$C$35,3,FALSE),1)</f>
        <v>0.98791809110152173</v>
      </c>
      <c r="BS227" s="4">
        <f>_xlfn.IFNA(VLOOKUP(Granger_Inventory[[#This Row],[condition]],Lookups!$A$38:$C$45,3,FALSE),1)</f>
        <v>0.99135053432734199</v>
      </c>
      <c r="BT227" s="4">
        <f>IF(Granger_Inventory[[#This Row],[decade]]="",1,_xlfn.IFNA(VLOOKUP(Granger_Inventory[[#This Row],[decade]],Lookups!$G$28:$I$42,3,FALSE),1))</f>
        <v>0.95532362136731586</v>
      </c>
      <c r="BU227" s="4">
        <f>_xlfn.IFNA(VLOOKUP(Granger_Inventory[[#This Row],[living_area_range]],Lookups!$A$48:$C$57,3,FALSE),1)</f>
        <v>0.97860968051050168</v>
      </c>
      <c r="BV227" s="4">
        <f>AVERAGE(Granger_Inventory[[#This Row],[qual_adj]:[living_range_adj]])</f>
        <v>0.97830048182667029</v>
      </c>
      <c r="BW227" s="8">
        <f>(Granger_Inventory[[#This Row],[sum_land]]-IF(Granger_Inventory[[#This Row],[no_utilities]]=1,12000,0))/IF(Granger_Inventory[[#This Row],[unbuildable]]=1,2,1)</f>
        <v>27689.858642911939</v>
      </c>
      <c r="BX227" s="8">
        <f>Granger_Inventory[[#This Row],[pre_res]]*Granger_Inventory[[#This Row],[overall_adj]]</f>
        <v>321636.90440058929</v>
      </c>
      <c r="BY227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27">
        <f>ROUND(Granger_Inventory[[#This Row],[detatched_value]]*Lookups!$I$45,-2)</f>
        <v>0</v>
      </c>
      <c r="CA227">
        <f>IF(ROUND(Granger_Inventory[[#This Row],[adj_res]]*Lookups!$I$45,-2)&lt;Granger_Inventory[[#This Row],[min_res]],Granger_Inventory[[#This Row],[min_res]],ROUND(Granger_Inventory[[#This Row],[adj_res]]*Lookups!$I$45,-2))</f>
        <v>305600</v>
      </c>
      <c r="CB227">
        <f>Granger_Inventory[[#This Row],[final_det]]+Granger_Inventory[[#This Row],[final_res]]</f>
        <v>305600</v>
      </c>
      <c r="CC227">
        <f>Granger_Inventory[[#This Row],[final_land]]+Granger_Inventory[[#This Row],[final_imp]]+Granger_Inventory[[#This Row],[crop_value]]</f>
        <v>331900</v>
      </c>
      <c r="CE227" t="str">
        <f t="shared" si="3"/>
        <v>update valuation set market_land =26300, market_bldg=305600, market_total =331900, market_mdno =402, market_date ='9/10/2023' where link_id = (select link_id from parcel where parcel_year = '2024' and parcel_id = '21101644462');</v>
      </c>
    </row>
    <row r="228" spans="1:83" x14ac:dyDescent="0.25">
      <c r="A228">
        <v>21101644463</v>
      </c>
      <c r="B228">
        <v>0.19</v>
      </c>
      <c r="C228">
        <v>8300</v>
      </c>
      <c r="D228" t="s">
        <v>137</v>
      </c>
      <c r="E228" t="s">
        <v>54</v>
      </c>
      <c r="F228" t="s">
        <v>54</v>
      </c>
      <c r="G228">
        <v>3</v>
      </c>
      <c r="H228" t="s">
        <v>55</v>
      </c>
      <c r="I228">
        <v>301500</v>
      </c>
      <c r="J228">
        <v>25900</v>
      </c>
      <c r="K228">
        <v>0.19</v>
      </c>
      <c r="L228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28">
        <v>0</v>
      </c>
      <c r="N228">
        <v>0</v>
      </c>
      <c r="O228">
        <v>0</v>
      </c>
      <c r="P228">
        <v>47108.068500000001</v>
      </c>
      <c r="Q228">
        <v>122298</v>
      </c>
      <c r="R228">
        <f>(Granger_Inventory[[#This Row],[ln_acres]]*Granger_Inventory[[#This Row],[coeff]])+Granger_Inventory[[#This Row],[const]]</f>
        <v>44064.160548957996</v>
      </c>
      <c r="S228" t="s">
        <v>59</v>
      </c>
      <c r="T228">
        <v>1</v>
      </c>
      <c r="U228" t="s">
        <v>61</v>
      </c>
      <c r="V228" t="s">
        <v>58</v>
      </c>
      <c r="W228">
        <v>0</v>
      </c>
      <c r="X228">
        <v>0</v>
      </c>
      <c r="Y228">
        <v>4</v>
      </c>
      <c r="Z228">
        <v>4</v>
      </c>
      <c r="AA228">
        <v>10</v>
      </c>
      <c r="AB228">
        <v>2000</v>
      </c>
      <c r="AC228">
        <v>1536</v>
      </c>
      <c r="AD228">
        <v>1536</v>
      </c>
      <c r="AE228">
        <v>0</v>
      </c>
      <c r="AF228">
        <v>0</v>
      </c>
      <c r="AG228">
        <v>0</v>
      </c>
      <c r="AH228">
        <v>0</v>
      </c>
      <c r="AI228">
        <v>352</v>
      </c>
      <c r="AJ228">
        <v>0</v>
      </c>
      <c r="AK228">
        <v>0</v>
      </c>
      <c r="AL228">
        <v>96</v>
      </c>
      <c r="AM228">
        <v>0</v>
      </c>
      <c r="AN228">
        <v>80</v>
      </c>
      <c r="AO228">
        <v>0</v>
      </c>
      <c r="AP228">
        <v>9</v>
      </c>
      <c r="AQ228">
        <v>0</v>
      </c>
      <c r="AR228">
        <v>0</v>
      </c>
      <c r="AS228" t="s">
        <v>59</v>
      </c>
      <c r="AT228">
        <v>1</v>
      </c>
      <c r="AU228" t="s">
        <v>63</v>
      </c>
      <c r="AV228" t="s">
        <v>65</v>
      </c>
      <c r="AW228">
        <v>1</v>
      </c>
      <c r="AX228">
        <v>3</v>
      </c>
      <c r="AY228">
        <v>0</v>
      </c>
      <c r="AZ228">
        <v>0</v>
      </c>
      <c r="BA228">
        <v>100</v>
      </c>
      <c r="BB228">
        <v>100</v>
      </c>
      <c r="BC228">
        <v>100</v>
      </c>
      <c r="BD228">
        <v>100</v>
      </c>
      <c r="BE228">
        <v>1</v>
      </c>
      <c r="BF228">
        <v>15000</v>
      </c>
      <c r="BG228">
        <v>1000</v>
      </c>
      <c r="BH228" s="8">
        <f>Granger_Inventory[[#This Row],[land_extract]]*Lookups!$B$3</f>
        <v>26250.377615159185</v>
      </c>
      <c r="BI228" s="8">
        <f>IF(Granger_Inventory[[#This Row],[bldg_style]]="",0,Lookups!$B$2)</f>
        <v>29703.559000000001</v>
      </c>
      <c r="BJ228" s="8">
        <f>_xlfn.IFNA(VLOOKUP(Granger_Inventory[[#This Row],[quality]],Lookups!$H$2:$J$14,3,FALSE),0)</f>
        <v>71767</v>
      </c>
      <c r="BK228" s="8">
        <f>_xlfn.IFNA(VLOOKUP(Granger_Inventory[[#This Row],[condition]],Lookups!$H$17:$J$24,3,FALSE),0)</f>
        <v>101774</v>
      </c>
      <c r="BL228" s="8">
        <f>Granger_Inventory[[#This Row],[Age]]*Lookups!$B$16</f>
        <v>-829.32439999999997</v>
      </c>
      <c r="BM228" s="8">
        <f>Granger_Inventory[[#This Row],[living_area]]*Lookups!$B$17</f>
        <v>103331.188224</v>
      </c>
      <c r="BN228" s="8">
        <f>(Granger_Inventory[[#This Row],[att_gar]]+Granger_Inventory[[#This Row],[blt_gar]])*Lookups!$B$18</f>
        <v>17053.550272</v>
      </c>
      <c r="BO228" s="8">
        <f>Granger_Inventory[[#This Row],[Patio]]*Lookups!$B$19</f>
        <v>0</v>
      </c>
      <c r="BP228" s="8">
        <f>SUM(Granger_Inventory[[#This Row],[Intercept]:[Patio_Value]])*Granger_Inventory[[#This Row],[res_pct]]</f>
        <v>322799.97309600003</v>
      </c>
      <c r="BQ228" s="8">
        <f>Granger_Inventory[[#This Row],[land_value]]</f>
        <v>26250.377615159185</v>
      </c>
      <c r="BR228" s="4">
        <f>_xlfn.IFNA(VLOOKUP(Granger_Inventory[[#This Row],[quality]],Lookups!$A$25:$C$35,3,FALSE),1)</f>
        <v>0.992092799099482</v>
      </c>
      <c r="BS228" s="4">
        <f>_xlfn.IFNA(VLOOKUP(Granger_Inventory[[#This Row],[condition]],Lookups!$A$38:$C$45,3,FALSE),1)</f>
        <v>0.99135053432734199</v>
      </c>
      <c r="BT228" s="4">
        <f>IF(Granger_Inventory[[#This Row],[decade]]="",1,_xlfn.IFNA(VLOOKUP(Granger_Inventory[[#This Row],[decade]],Lookups!$G$28:$I$42,3,FALSE),1))</f>
        <v>0.95532362136731586</v>
      </c>
      <c r="BU228" s="4">
        <f>_xlfn.IFNA(VLOOKUP(Granger_Inventory[[#This Row],[living_area_range]],Lookups!$A$48:$C$57,3,FALSE),1)</f>
        <v>0.97860968051050168</v>
      </c>
      <c r="BV228" s="4">
        <f>AVERAGE(Granger_Inventory[[#This Row],[qual_adj]:[living_range_adj]])</f>
        <v>0.97934415882616044</v>
      </c>
      <c r="BW228" s="8">
        <f>(Granger_Inventory[[#This Row],[sum_land]]-IF(Granger_Inventory[[#This Row],[no_utilities]]=1,12000,0))/IF(Granger_Inventory[[#This Row],[unbuildable]]=1,2,1)</f>
        <v>26250.377615159185</v>
      </c>
      <c r="BX228" s="8">
        <f>Granger_Inventory[[#This Row],[pre_res]]*Granger_Inventory[[#This Row],[overall_adj]]</f>
        <v>316132.26812080934</v>
      </c>
      <c r="BY228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28">
        <f>ROUND(Granger_Inventory[[#This Row],[detatched_value]]*Lookups!$I$45,-2)</f>
        <v>0</v>
      </c>
      <c r="CA228">
        <f>IF(ROUND(Granger_Inventory[[#This Row],[adj_res]]*Lookups!$I$45,-2)&lt;Granger_Inventory[[#This Row],[min_res]],Granger_Inventory[[#This Row],[min_res]],ROUND(Granger_Inventory[[#This Row],[adj_res]]*Lookups!$I$45,-2))</f>
        <v>300300</v>
      </c>
      <c r="CB228">
        <f>Granger_Inventory[[#This Row],[final_det]]+Granger_Inventory[[#This Row],[final_res]]</f>
        <v>300300</v>
      </c>
      <c r="CC228">
        <f>Granger_Inventory[[#This Row],[final_land]]+Granger_Inventory[[#This Row],[final_imp]]+Granger_Inventory[[#This Row],[crop_value]]</f>
        <v>325200</v>
      </c>
      <c r="CE228" t="str">
        <f t="shared" si="3"/>
        <v>update valuation set market_land =24900, market_bldg=300300, market_total =325200, market_mdno =402, market_date ='9/10/2023' where link_id = (select link_id from parcel where parcel_year = '2024' and parcel_id = '21101644463');</v>
      </c>
    </row>
    <row r="229" spans="1:83" x14ac:dyDescent="0.25">
      <c r="A229">
        <v>21101644472</v>
      </c>
      <c r="B229">
        <v>0.17</v>
      </c>
      <c r="C229">
        <v>7459</v>
      </c>
      <c r="D229" t="s">
        <v>137</v>
      </c>
      <c r="E229" t="s">
        <v>54</v>
      </c>
      <c r="F229" t="s">
        <v>54</v>
      </c>
      <c r="G229">
        <v>3</v>
      </c>
      <c r="H229" t="s">
        <v>55</v>
      </c>
      <c r="I229">
        <v>227100</v>
      </c>
      <c r="J229">
        <v>25300</v>
      </c>
      <c r="K229">
        <v>0.17</v>
      </c>
      <c r="L229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229">
        <v>0</v>
      </c>
      <c r="N229">
        <v>0</v>
      </c>
      <c r="O229">
        <v>0</v>
      </c>
      <c r="P229">
        <v>47108.068500000001</v>
      </c>
      <c r="Q229">
        <v>122298</v>
      </c>
      <c r="R229">
        <f>(Granger_Inventory[[#This Row],[ln_acres]]*Granger_Inventory[[#This Row],[coeff]])+Granger_Inventory[[#This Row],[const]]</f>
        <v>38824.535711229546</v>
      </c>
      <c r="S229" t="s">
        <v>62</v>
      </c>
      <c r="T229">
        <v>1</v>
      </c>
      <c r="U229" t="s">
        <v>64</v>
      </c>
      <c r="V229" t="s">
        <v>58</v>
      </c>
      <c r="W229">
        <v>0</v>
      </c>
      <c r="X229">
        <v>0</v>
      </c>
      <c r="Y229">
        <v>5</v>
      </c>
      <c r="Z229">
        <v>5</v>
      </c>
      <c r="AA229">
        <v>10</v>
      </c>
      <c r="AB229">
        <v>1500</v>
      </c>
      <c r="AC229">
        <v>1500</v>
      </c>
      <c r="AD229">
        <v>1500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8</v>
      </c>
      <c r="AQ229">
        <v>0</v>
      </c>
      <c r="AR229">
        <v>0</v>
      </c>
      <c r="AS229" t="s">
        <v>59</v>
      </c>
      <c r="AT229">
        <v>1</v>
      </c>
      <c r="AU229" t="s">
        <v>63</v>
      </c>
      <c r="AV229" t="s">
        <v>65</v>
      </c>
      <c r="AW229">
        <v>1</v>
      </c>
      <c r="AX229">
        <v>3</v>
      </c>
      <c r="AY229">
        <v>0</v>
      </c>
      <c r="AZ229">
        <v>0</v>
      </c>
      <c r="BA229">
        <v>100</v>
      </c>
      <c r="BB229">
        <v>100</v>
      </c>
      <c r="BC229">
        <v>100</v>
      </c>
      <c r="BD229">
        <v>100</v>
      </c>
      <c r="BE229">
        <v>1</v>
      </c>
      <c r="BF229">
        <v>15000</v>
      </c>
      <c r="BG229">
        <v>1000</v>
      </c>
      <c r="BH229" s="8">
        <f>Granger_Inventory[[#This Row],[land_extract]]*Lookups!$B$3</f>
        <v>23128.971718879347</v>
      </c>
      <c r="BI229" s="8">
        <f>IF(Granger_Inventory[[#This Row],[bldg_style]]="",0,Lookups!$B$2)</f>
        <v>29703.559000000001</v>
      </c>
      <c r="BJ229" s="8">
        <f>_xlfn.IFNA(VLOOKUP(Granger_Inventory[[#This Row],[quality]],Lookups!$H$2:$J$14,3,FALSE),0)</f>
        <v>36568</v>
      </c>
      <c r="BK229" s="8">
        <f>_xlfn.IFNA(VLOOKUP(Granger_Inventory[[#This Row],[condition]],Lookups!$H$17:$J$24,3,FALSE),0)</f>
        <v>101774</v>
      </c>
      <c r="BL229" s="8">
        <f>Granger_Inventory[[#This Row],[Age]]*Lookups!$B$16</f>
        <v>-1036.6554999999998</v>
      </c>
      <c r="BM229" s="8">
        <f>Granger_Inventory[[#This Row],[living_area]]*Lookups!$B$17</f>
        <v>100909.36349999999</v>
      </c>
      <c r="BN229" s="8">
        <f>(Granger_Inventory[[#This Row],[att_gar]]+Granger_Inventory[[#This Row],[blt_gar]])*Lookups!$B$18</f>
        <v>0</v>
      </c>
      <c r="BO229" s="8">
        <f>Granger_Inventory[[#This Row],[Patio]]*Lookups!$B$19</f>
        <v>0</v>
      </c>
      <c r="BP229" s="8">
        <f>SUM(Granger_Inventory[[#This Row],[Intercept]:[Patio_Value]])*Granger_Inventory[[#This Row],[res_pct]]</f>
        <v>267918.26699999999</v>
      </c>
      <c r="BQ229" s="8">
        <f>Granger_Inventory[[#This Row],[land_value]]</f>
        <v>23128.971718879347</v>
      </c>
      <c r="BR229" s="4">
        <f>_xlfn.IFNA(VLOOKUP(Granger_Inventory[[#This Row],[quality]],Lookups!$A$25:$C$35,3,FALSE),1)</f>
        <v>0.99049976351917957</v>
      </c>
      <c r="BS229" s="4">
        <f>_xlfn.IFNA(VLOOKUP(Granger_Inventory[[#This Row],[condition]],Lookups!$A$38:$C$45,3,FALSE),1)</f>
        <v>0.99135053432734199</v>
      </c>
      <c r="BT229" s="4">
        <f>IF(Granger_Inventory[[#This Row],[decade]]="",1,_xlfn.IFNA(VLOOKUP(Granger_Inventory[[#This Row],[decade]],Lookups!$G$28:$I$42,3,FALSE),1))</f>
        <v>0.95532362136731586</v>
      </c>
      <c r="BU229" s="4">
        <f>_xlfn.IFNA(VLOOKUP(Granger_Inventory[[#This Row],[living_area_range]],Lookups!$A$48:$C$57,3,FALSE),1)</f>
        <v>0.97960506760539345</v>
      </c>
      <c r="BV229" s="4">
        <f>AVERAGE(Granger_Inventory[[#This Row],[qual_adj]:[living_range_adj]])</f>
        <v>0.97919474670480777</v>
      </c>
      <c r="BW229" s="8">
        <f>(Granger_Inventory[[#This Row],[sum_land]]-IF(Granger_Inventory[[#This Row],[no_utilities]]=1,12000,0))/IF(Granger_Inventory[[#This Row],[unbuildable]]=1,2,1)</f>
        <v>23128.971718879347</v>
      </c>
      <c r="BX229" s="8">
        <f>Granger_Inventory[[#This Row],[pre_res]]*Granger_Inventory[[#This Row],[overall_adj]]</f>
        <v>262344.15959265607</v>
      </c>
      <c r="BY229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229">
        <f>ROUND(Granger_Inventory[[#This Row],[detatched_value]]*Lookups!$I$45,-2)</f>
        <v>0</v>
      </c>
      <c r="CA229">
        <f>IF(ROUND(Granger_Inventory[[#This Row],[adj_res]]*Lookups!$I$45,-2)&lt;Granger_Inventory[[#This Row],[min_res]],Granger_Inventory[[#This Row],[min_res]],ROUND(Granger_Inventory[[#This Row],[adj_res]]*Lookups!$I$45,-2))</f>
        <v>249200</v>
      </c>
      <c r="CB229">
        <f>Granger_Inventory[[#This Row],[final_det]]+Granger_Inventory[[#This Row],[final_res]]</f>
        <v>249200</v>
      </c>
      <c r="CC229">
        <f>Granger_Inventory[[#This Row],[final_land]]+Granger_Inventory[[#This Row],[final_imp]]+Granger_Inventory[[#This Row],[crop_value]]</f>
        <v>271200</v>
      </c>
      <c r="CE229" t="str">
        <f t="shared" si="3"/>
        <v>update valuation set market_land =22000, market_bldg=249200, market_total =271200, market_mdno =402, market_date ='9/10/2023' where link_id = (select link_id from parcel where parcel_year = '2024' and parcel_id = '21101644472');</v>
      </c>
    </row>
    <row r="230" spans="1:83" x14ac:dyDescent="0.25">
      <c r="A230">
        <v>21101644473</v>
      </c>
      <c r="B230">
        <v>0.14000000000000001</v>
      </c>
      <c r="C230">
        <v>6000</v>
      </c>
      <c r="D230" t="s">
        <v>137</v>
      </c>
      <c r="E230" t="s">
        <v>54</v>
      </c>
      <c r="F230" t="s">
        <v>54</v>
      </c>
      <c r="G230">
        <v>3</v>
      </c>
      <c r="H230" t="s">
        <v>55</v>
      </c>
      <c r="I230">
        <v>272800</v>
      </c>
      <c r="J230">
        <v>24200</v>
      </c>
      <c r="K230">
        <v>0.14000000000000001</v>
      </c>
      <c r="L23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30">
        <v>0</v>
      </c>
      <c r="N230">
        <v>0</v>
      </c>
      <c r="O230">
        <v>0</v>
      </c>
      <c r="P230">
        <v>47108.068500000001</v>
      </c>
      <c r="Q230">
        <v>122298</v>
      </c>
      <c r="R230">
        <f>(Granger_Inventory[[#This Row],[ln_acres]]*Granger_Inventory[[#This Row],[coeff]])+Granger_Inventory[[#This Row],[const]]</f>
        <v>29678.220883257934</v>
      </c>
      <c r="S230" t="s">
        <v>59</v>
      </c>
      <c r="T230">
        <v>2</v>
      </c>
      <c r="U230" t="s">
        <v>57</v>
      </c>
      <c r="V230" t="s">
        <v>58</v>
      </c>
      <c r="W230">
        <v>0</v>
      </c>
      <c r="X230">
        <v>0</v>
      </c>
      <c r="Y230">
        <v>5</v>
      </c>
      <c r="Z230">
        <v>5</v>
      </c>
      <c r="AA230">
        <v>10</v>
      </c>
      <c r="AB230">
        <v>2000</v>
      </c>
      <c r="AC230">
        <v>1620</v>
      </c>
      <c r="AD230">
        <v>1080</v>
      </c>
      <c r="AE230">
        <v>540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420</v>
      </c>
      <c r="AO230">
        <v>0</v>
      </c>
      <c r="AP230">
        <v>11</v>
      </c>
      <c r="AQ230">
        <v>0</v>
      </c>
      <c r="AR230">
        <v>0</v>
      </c>
      <c r="AS230" t="s">
        <v>59</v>
      </c>
      <c r="AT230">
        <v>1</v>
      </c>
      <c r="AU230" t="s">
        <v>60</v>
      </c>
      <c r="AV230" t="s">
        <v>65</v>
      </c>
      <c r="AW230">
        <v>1</v>
      </c>
      <c r="AX230">
        <v>3</v>
      </c>
      <c r="AY230">
        <v>0</v>
      </c>
      <c r="AZ230">
        <v>0</v>
      </c>
      <c r="BA230">
        <v>100</v>
      </c>
      <c r="BB230">
        <v>100</v>
      </c>
      <c r="BC230">
        <v>100</v>
      </c>
      <c r="BD230">
        <v>100</v>
      </c>
      <c r="BE230">
        <v>1</v>
      </c>
      <c r="BF230">
        <v>15000</v>
      </c>
      <c r="BG230">
        <v>1000</v>
      </c>
      <c r="BH230" s="8">
        <f>Granger_Inventory[[#This Row],[land_extract]]*Lookups!$B$3</f>
        <v>17680.230269359956</v>
      </c>
      <c r="BI230" s="8">
        <f>IF(Granger_Inventory[[#This Row],[bldg_style]]="",0,Lookups!$B$2)</f>
        <v>29703.559000000001</v>
      </c>
      <c r="BJ230" s="8">
        <f>_xlfn.IFNA(VLOOKUP(Granger_Inventory[[#This Row],[quality]],Lookups!$H$2:$J$14,3,FALSE),0)</f>
        <v>56414</v>
      </c>
      <c r="BK230" s="8">
        <f>_xlfn.IFNA(VLOOKUP(Granger_Inventory[[#This Row],[condition]],Lookups!$H$17:$J$24,3,FALSE),0)</f>
        <v>101774</v>
      </c>
      <c r="BL230" s="8">
        <f>Granger_Inventory[[#This Row],[Age]]*Lookups!$B$16</f>
        <v>-1036.6554999999998</v>
      </c>
      <c r="BM230" s="8">
        <f>Granger_Inventory[[#This Row],[living_area]]*Lookups!$B$17</f>
        <v>108982.11258</v>
      </c>
      <c r="BN230" s="8">
        <f>(Granger_Inventory[[#This Row],[att_gar]]+Granger_Inventory[[#This Row],[blt_gar]])*Lookups!$B$18</f>
        <v>0</v>
      </c>
      <c r="BO230" s="8">
        <f>Granger_Inventory[[#This Row],[Patio]]*Lookups!$B$19</f>
        <v>0</v>
      </c>
      <c r="BP230" s="8">
        <f>SUM(Granger_Inventory[[#This Row],[Intercept]:[Patio_Value]])*Granger_Inventory[[#This Row],[res_pct]]</f>
        <v>295837.01608000003</v>
      </c>
      <c r="BQ230" s="8">
        <f>Granger_Inventory[[#This Row],[land_value]]</f>
        <v>17680.230269359956</v>
      </c>
      <c r="BR230" s="4">
        <f>_xlfn.IFNA(VLOOKUP(Granger_Inventory[[#This Row],[quality]],Lookups!$A$25:$C$35,3,FALSE),1)</f>
        <v>0.98791809110152173</v>
      </c>
      <c r="BS230" s="4">
        <f>_xlfn.IFNA(VLOOKUP(Granger_Inventory[[#This Row],[condition]],Lookups!$A$38:$C$45,3,FALSE),1)</f>
        <v>0.99135053432734199</v>
      </c>
      <c r="BT230" s="4">
        <f>IF(Granger_Inventory[[#This Row],[decade]]="",1,_xlfn.IFNA(VLOOKUP(Granger_Inventory[[#This Row],[decade]],Lookups!$G$28:$I$42,3,FALSE),1))</f>
        <v>0.95532362136731586</v>
      </c>
      <c r="BU230" s="4">
        <f>_xlfn.IFNA(VLOOKUP(Granger_Inventory[[#This Row],[living_area_range]],Lookups!$A$48:$C$57,3,FALSE),1)</f>
        <v>0.97860968051050168</v>
      </c>
      <c r="BV230" s="4">
        <f>AVERAGE(Granger_Inventory[[#This Row],[qual_adj]:[living_range_adj]])</f>
        <v>0.97830048182667029</v>
      </c>
      <c r="BW230" s="8">
        <f>(Granger_Inventory[[#This Row],[sum_land]]-IF(Granger_Inventory[[#This Row],[no_utilities]]=1,12000,0))/IF(Granger_Inventory[[#This Row],[unbuildable]]=1,2,1)</f>
        <v>17680.230269359956</v>
      </c>
      <c r="BX230" s="8">
        <f>Granger_Inventory[[#This Row],[pre_res]]*Granger_Inventory[[#This Row],[overall_adj]]</f>
        <v>289417.49537322845</v>
      </c>
      <c r="BY23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30">
        <f>ROUND(Granger_Inventory[[#This Row],[detatched_value]]*Lookups!$I$45,-2)</f>
        <v>0</v>
      </c>
      <c r="CA230">
        <f>IF(ROUND(Granger_Inventory[[#This Row],[adj_res]]*Lookups!$I$45,-2)&lt;Granger_Inventory[[#This Row],[min_res]],Granger_Inventory[[#This Row],[min_res]],ROUND(Granger_Inventory[[#This Row],[adj_res]]*Lookups!$I$45,-2))</f>
        <v>274900</v>
      </c>
      <c r="CB230">
        <f>Granger_Inventory[[#This Row],[final_det]]+Granger_Inventory[[#This Row],[final_res]]</f>
        <v>274900</v>
      </c>
      <c r="CC230">
        <f>Granger_Inventory[[#This Row],[final_land]]+Granger_Inventory[[#This Row],[final_imp]]+Granger_Inventory[[#This Row],[crop_value]]</f>
        <v>291700</v>
      </c>
      <c r="CE230" t="str">
        <f t="shared" si="3"/>
        <v>update valuation set market_land =16800, market_bldg=274900, market_total =291700, market_mdno =402, market_date ='9/10/2023' where link_id = (select link_id from parcel where parcel_year = '2024' and parcel_id = '21101644473');</v>
      </c>
    </row>
    <row r="231" spans="1:83" x14ac:dyDescent="0.25">
      <c r="A231">
        <v>21101644474</v>
      </c>
      <c r="B231" t="s">
        <v>137</v>
      </c>
      <c r="C231">
        <v>31449</v>
      </c>
      <c r="D231" t="s">
        <v>137</v>
      </c>
      <c r="E231" t="s">
        <v>54</v>
      </c>
      <c r="F231" t="s">
        <v>54</v>
      </c>
      <c r="G231">
        <v>3</v>
      </c>
      <c r="H231" t="s">
        <v>55</v>
      </c>
      <c r="I231">
        <v>42000</v>
      </c>
      <c r="J231">
        <v>33300</v>
      </c>
      <c r="K231">
        <v>0.72</v>
      </c>
      <c r="L231">
        <f>IF(Granger_Inventory[[#This Row],[parcel_acres]]-Granger_Inventory[[#This Row],[non_valued_acres]] =0,0,LN(Granger_Inventory[[#This Row],[parcel_acres]]-Granger_Inventory[[#This Row],[non_valued_acres]]))</f>
        <v>-0.3285040669720361</v>
      </c>
      <c r="M231">
        <v>0</v>
      </c>
      <c r="N231">
        <v>0</v>
      </c>
      <c r="O231">
        <v>0</v>
      </c>
      <c r="P231">
        <v>47108.068500000001</v>
      </c>
      <c r="Q231">
        <v>122298</v>
      </c>
      <c r="R231">
        <f>(Granger_Inventory[[#This Row],[ln_acres]]*Granger_Inventory[[#This Row],[coeff]])+Granger_Inventory[[#This Row],[const]]</f>
        <v>106822.80791055274</v>
      </c>
      <c r="S231" t="s">
        <v>69</v>
      </c>
      <c r="T231">
        <v>1</v>
      </c>
      <c r="U231" t="s">
        <v>106</v>
      </c>
      <c r="V231" t="s">
        <v>82</v>
      </c>
      <c r="W231">
        <v>0</v>
      </c>
      <c r="X231">
        <v>0</v>
      </c>
      <c r="Y231">
        <v>53</v>
      </c>
      <c r="Z231">
        <v>92</v>
      </c>
      <c r="AA231">
        <v>100</v>
      </c>
      <c r="AB231">
        <v>1000</v>
      </c>
      <c r="AC231">
        <v>840</v>
      </c>
      <c r="AD231">
        <v>840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32</v>
      </c>
      <c r="AP231">
        <v>5</v>
      </c>
      <c r="AQ231">
        <v>0</v>
      </c>
      <c r="AR231">
        <v>0</v>
      </c>
      <c r="AS231" t="s">
        <v>59</v>
      </c>
      <c r="AT231">
        <v>1</v>
      </c>
      <c r="AU231" t="s">
        <v>68</v>
      </c>
      <c r="AV231" t="s">
        <v>65</v>
      </c>
      <c r="AW231">
        <v>0</v>
      </c>
      <c r="AX231">
        <v>3</v>
      </c>
      <c r="AY231">
        <v>0</v>
      </c>
      <c r="AZ231">
        <v>46000</v>
      </c>
      <c r="BA231">
        <v>100</v>
      </c>
      <c r="BB231">
        <v>100</v>
      </c>
      <c r="BC231">
        <v>100</v>
      </c>
      <c r="BD231">
        <v>100</v>
      </c>
      <c r="BE231">
        <v>1</v>
      </c>
      <c r="BF231">
        <v>15000</v>
      </c>
      <c r="BG231">
        <v>1000</v>
      </c>
      <c r="BH231" s="8">
        <f>Granger_Inventory[[#This Row],[land_extract]]*Lookups!$B$3</f>
        <v>63637.636814799916</v>
      </c>
      <c r="BI231" s="8">
        <f>IF(Granger_Inventory[[#This Row],[bldg_style]]="",0,Lookups!$B$2)</f>
        <v>29703.559000000001</v>
      </c>
      <c r="BJ231" s="8">
        <f>_xlfn.IFNA(VLOOKUP(Granger_Inventory[[#This Row],[quality]],Lookups!$H$2:$J$14,3,FALSE),0)</f>
        <v>17985.540667792327</v>
      </c>
      <c r="BK231" s="8">
        <f>_xlfn.IFNA(VLOOKUP(Granger_Inventory[[#This Row],[condition]],Lookups!$H$17:$J$24,3,FALSE),0)</f>
        <v>27308</v>
      </c>
      <c r="BL231" s="8">
        <f>Granger_Inventory[[#This Row],[Age]]*Lookups!$B$16</f>
        <v>-19074.461199999998</v>
      </c>
      <c r="BM231" s="8">
        <f>Granger_Inventory[[#This Row],[living_area]]*Lookups!$B$17</f>
        <v>56509.243559999995</v>
      </c>
      <c r="BN231" s="8">
        <f>(Granger_Inventory[[#This Row],[att_gar]]+Granger_Inventory[[#This Row],[blt_gar]])*Lookups!$B$18</f>
        <v>0</v>
      </c>
      <c r="BO231" s="8">
        <f>Granger_Inventory[[#This Row],[Patio]]*Lookups!$B$19</f>
        <v>0</v>
      </c>
      <c r="BP231" s="8">
        <f>SUM(Granger_Inventory[[#This Row],[Intercept]:[Patio_Value]])*Granger_Inventory[[#This Row],[res_pct]]</f>
        <v>112431.88202779232</v>
      </c>
      <c r="BQ231" s="8">
        <f>Granger_Inventory[[#This Row],[land_value]]</f>
        <v>63637.636814799916</v>
      </c>
      <c r="BR231" s="4">
        <f>_xlfn.IFNA(VLOOKUP(Granger_Inventory[[#This Row],[quality]],Lookups!$A$25:$C$35,3,FALSE),1)</f>
        <v>0.77695375541795109</v>
      </c>
      <c r="BS231" s="4">
        <f>_xlfn.IFNA(VLOOKUP(Granger_Inventory[[#This Row],[condition]],Lookups!$A$38:$C$45,3,FALSE),1)</f>
        <v>0.59507759803100935</v>
      </c>
      <c r="BT231" s="4">
        <f>IF(Granger_Inventory[[#This Row],[decade]]="",1,_xlfn.IFNA(VLOOKUP(Granger_Inventory[[#This Row],[decade]],Lookups!$G$28:$I$42,3,FALSE),1))</f>
        <v>0.879441629375324</v>
      </c>
      <c r="BU231" s="4">
        <f>_xlfn.IFNA(VLOOKUP(Granger_Inventory[[#This Row],[living_area_range]],Lookups!$A$48:$C$57,3,FALSE),1)</f>
        <v>0.81272404900450645</v>
      </c>
      <c r="BV231" s="4">
        <f>AVERAGE(Granger_Inventory[[#This Row],[qual_adj]:[living_range_adj]])</f>
        <v>0.7660492579571978</v>
      </c>
      <c r="BW231" s="8">
        <f>(Granger_Inventory[[#This Row],[sum_land]]-IF(Granger_Inventory[[#This Row],[no_utilities]]=1,12000,0))/IF(Granger_Inventory[[#This Row],[unbuildable]]=1,2,1)</f>
        <v>63637.636814799916</v>
      </c>
      <c r="BX231" s="8">
        <f>Granger_Inventory[[#This Row],[pre_res]]*Granger_Inventory[[#This Row],[overall_adj]]</f>
        <v>86128.359798121513</v>
      </c>
      <c r="BY231">
        <f>IF(ROUND(Granger_Inventory[[#This Row],[adj_land]]*Lookups!$I$45,-2)&lt;Granger_Inventory[[#This Row],[min_land]],Granger_Inventory[[#This Row],[min_land]],ROUND(Granger_Inventory[[#This Row],[adj_land]]*Lookups!$I$45,-2))</f>
        <v>60500</v>
      </c>
      <c r="BZ231">
        <f>ROUND(Granger_Inventory[[#This Row],[detatched_value]]*Lookups!$I$45,-2)</f>
        <v>43700</v>
      </c>
      <c r="CA231">
        <f>IF(ROUND(Granger_Inventory[[#This Row],[adj_res]]*Lookups!$I$45,-2)&lt;Granger_Inventory[[#This Row],[min_res]],Granger_Inventory[[#This Row],[min_res]],ROUND(Granger_Inventory[[#This Row],[adj_res]]*Lookups!$I$45,-2))</f>
        <v>81800</v>
      </c>
      <c r="CB231">
        <f>Granger_Inventory[[#This Row],[final_det]]+Granger_Inventory[[#This Row],[final_res]]</f>
        <v>125500</v>
      </c>
      <c r="CC231">
        <f>Granger_Inventory[[#This Row],[final_land]]+Granger_Inventory[[#This Row],[final_imp]]+Granger_Inventory[[#This Row],[crop_value]]</f>
        <v>186000</v>
      </c>
      <c r="CE231" t="str">
        <f t="shared" si="3"/>
        <v>update valuation set market_land =60500, market_bldg=125500, market_total =186000, market_mdno =402, market_date ='9/10/2023' where link_id = (select link_id from parcel where parcel_year = '2024' and parcel_id = '21101644474');</v>
      </c>
    </row>
    <row r="232" spans="1:83" x14ac:dyDescent="0.25">
      <c r="A232">
        <v>21101644510</v>
      </c>
      <c r="B232">
        <v>0.52</v>
      </c>
      <c r="C232">
        <v>22725</v>
      </c>
      <c r="D232" t="s">
        <v>137</v>
      </c>
      <c r="E232" t="s">
        <v>54</v>
      </c>
      <c r="F232" t="s">
        <v>54</v>
      </c>
      <c r="G232">
        <v>3</v>
      </c>
      <c r="H232" t="s">
        <v>55</v>
      </c>
      <c r="I232">
        <v>175300</v>
      </c>
      <c r="J232">
        <v>31500</v>
      </c>
      <c r="K232">
        <v>0.52</v>
      </c>
      <c r="L232">
        <f>IF(Granger_Inventory[[#This Row],[parcel_acres]]-Granger_Inventory[[#This Row],[non_valued_acres]] =0,0,LN(Granger_Inventory[[#This Row],[parcel_acres]]-Granger_Inventory[[#This Row],[non_valued_acres]]))</f>
        <v>-0.65392646740666394</v>
      </c>
      <c r="M232">
        <v>0</v>
      </c>
      <c r="N232">
        <v>0</v>
      </c>
      <c r="O232">
        <v>0</v>
      </c>
      <c r="P232">
        <v>47108.068500000001</v>
      </c>
      <c r="Q232">
        <v>122298</v>
      </c>
      <c r="R232">
        <f>(Granger_Inventory[[#This Row],[ln_acres]]*Granger_Inventory[[#This Row],[coeff]])+Granger_Inventory[[#This Row],[const]]</f>
        <v>91492.787179443854</v>
      </c>
      <c r="S232" t="s">
        <v>69</v>
      </c>
      <c r="T232">
        <v>1</v>
      </c>
      <c r="U232" t="s">
        <v>71</v>
      </c>
      <c r="V232" t="s">
        <v>77</v>
      </c>
      <c r="W232">
        <v>0</v>
      </c>
      <c r="X232">
        <v>0</v>
      </c>
      <c r="Y232">
        <v>50</v>
      </c>
      <c r="Z232">
        <v>73</v>
      </c>
      <c r="AA232">
        <v>80</v>
      </c>
      <c r="AB232">
        <v>1500</v>
      </c>
      <c r="AC232">
        <v>1416</v>
      </c>
      <c r="AD232">
        <v>1416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754</v>
      </c>
      <c r="AN232">
        <v>30</v>
      </c>
      <c r="AO232">
        <v>754</v>
      </c>
      <c r="AP232">
        <v>8</v>
      </c>
      <c r="AQ232">
        <v>0</v>
      </c>
      <c r="AR232">
        <v>1</v>
      </c>
      <c r="AS232" t="s">
        <v>59</v>
      </c>
      <c r="AT232">
        <v>1</v>
      </c>
      <c r="AU232" t="s">
        <v>68</v>
      </c>
      <c r="AV232" t="s">
        <v>65</v>
      </c>
      <c r="AW232">
        <v>0</v>
      </c>
      <c r="AX232">
        <v>4</v>
      </c>
      <c r="AY232">
        <v>0</v>
      </c>
      <c r="AZ232">
        <v>24200</v>
      </c>
      <c r="BA232">
        <v>100</v>
      </c>
      <c r="BB232">
        <v>100</v>
      </c>
      <c r="BC232">
        <v>100</v>
      </c>
      <c r="BD232">
        <v>100</v>
      </c>
      <c r="BE232">
        <v>1</v>
      </c>
      <c r="BF232">
        <v>15000</v>
      </c>
      <c r="BG232">
        <v>1000</v>
      </c>
      <c r="BH232" s="8">
        <f>Granger_Inventory[[#This Row],[land_extract]]*Lookups!$B$3</f>
        <v>54505.071300639829</v>
      </c>
      <c r="BI232" s="8">
        <f>IF(Granger_Inventory[[#This Row],[bldg_style]]="",0,Lookups!$B$2)</f>
        <v>29703.559000000001</v>
      </c>
      <c r="BJ232" s="8">
        <f>_xlfn.IFNA(VLOOKUP(Granger_Inventory[[#This Row],[quality]],Lookups!$H$2:$J$14,3,FALSE),0)</f>
        <v>34195</v>
      </c>
      <c r="BK232" s="8">
        <f>_xlfn.IFNA(VLOOKUP(Granger_Inventory[[#This Row],[condition]],Lookups!$H$17:$J$24,3,FALSE),0)</f>
        <v>33736</v>
      </c>
      <c r="BL232" s="8">
        <f>Granger_Inventory[[#This Row],[Age]]*Lookups!$B$16</f>
        <v>-15135.1703</v>
      </c>
      <c r="BM232" s="8">
        <f>Granger_Inventory[[#This Row],[living_area]]*Lookups!$B$17</f>
        <v>95258.439144000004</v>
      </c>
      <c r="BN232" s="8">
        <f>(Granger_Inventory[[#This Row],[att_gar]]+Granger_Inventory[[#This Row],[blt_gar]])*Lookups!$B$18</f>
        <v>0</v>
      </c>
      <c r="BO232" s="8">
        <f>Granger_Inventory[[#This Row],[Patio]]*Lookups!$B$19</f>
        <v>40953.582384000001</v>
      </c>
      <c r="BP232" s="8">
        <f>SUM(Granger_Inventory[[#This Row],[Intercept]:[Patio_Value]])*Granger_Inventory[[#This Row],[res_pct]]</f>
        <v>218711.41022800002</v>
      </c>
      <c r="BQ232" s="8">
        <f>Granger_Inventory[[#This Row],[land_value]]</f>
        <v>54505.071300639829</v>
      </c>
      <c r="BR232" s="4">
        <f>_xlfn.IFNA(VLOOKUP(Granger_Inventory[[#This Row],[quality]],Lookups!$A$25:$C$35,3,FALSE),1)</f>
        <v>0.98258795897788032</v>
      </c>
      <c r="BS232" s="4">
        <f>_xlfn.IFNA(VLOOKUP(Granger_Inventory[[#This Row],[condition]],Lookups!$A$38:$C$45,3,FALSE),1)</f>
        <v>0.92294678898076177</v>
      </c>
      <c r="BT232" s="4">
        <f>IF(Granger_Inventory[[#This Row],[decade]]="",1,_xlfn.IFNA(VLOOKUP(Granger_Inventory[[#This Row],[decade]],Lookups!$G$28:$I$42,3,FALSE),1))</f>
        <v>0.76006056002554967</v>
      </c>
      <c r="BU232" s="4">
        <f>_xlfn.IFNA(VLOOKUP(Granger_Inventory[[#This Row],[living_area_range]],Lookups!$A$48:$C$57,3,FALSE),1)</f>
        <v>0.97960506760539345</v>
      </c>
      <c r="BV232" s="4">
        <f>AVERAGE(Granger_Inventory[[#This Row],[qual_adj]:[living_range_adj]])</f>
        <v>0.9113000938973963</v>
      </c>
      <c r="BW232" s="8">
        <f>(Granger_Inventory[[#This Row],[sum_land]]-IF(Granger_Inventory[[#This Row],[no_utilities]]=1,12000,0))/IF(Granger_Inventory[[#This Row],[unbuildable]]=1,2,1)</f>
        <v>54505.071300639829</v>
      </c>
      <c r="BX232" s="8">
        <f>Granger_Inventory[[#This Row],[pre_res]]*Granger_Inventory[[#This Row],[overall_adj]]</f>
        <v>199311.72867720839</v>
      </c>
      <c r="BY232">
        <f>IF(ROUND(Granger_Inventory[[#This Row],[adj_land]]*Lookups!$I$45,-2)&lt;Granger_Inventory[[#This Row],[min_land]],Granger_Inventory[[#This Row],[min_land]],ROUND(Granger_Inventory[[#This Row],[adj_land]]*Lookups!$I$45,-2))</f>
        <v>51800</v>
      </c>
      <c r="BZ232">
        <f>ROUND(Granger_Inventory[[#This Row],[detatched_value]]*Lookups!$I$45,-2)</f>
        <v>23000</v>
      </c>
      <c r="CA232">
        <f>IF(ROUND(Granger_Inventory[[#This Row],[adj_res]]*Lookups!$I$45,-2)&lt;Granger_Inventory[[#This Row],[min_res]],Granger_Inventory[[#This Row],[min_res]],ROUND(Granger_Inventory[[#This Row],[adj_res]]*Lookups!$I$45,-2))</f>
        <v>189300</v>
      </c>
      <c r="CB232">
        <f>Granger_Inventory[[#This Row],[final_det]]+Granger_Inventory[[#This Row],[final_res]]</f>
        <v>212300</v>
      </c>
      <c r="CC232">
        <f>Granger_Inventory[[#This Row],[final_land]]+Granger_Inventory[[#This Row],[final_imp]]+Granger_Inventory[[#This Row],[crop_value]]</f>
        <v>264100</v>
      </c>
      <c r="CE232" t="str">
        <f t="shared" si="3"/>
        <v>update valuation set market_land =51800, market_bldg=212300, market_total =264100, market_mdno =402, market_date ='9/10/2023' where link_id = (select link_id from parcel where parcel_year = '2024' and parcel_id = '21101644510');</v>
      </c>
    </row>
    <row r="233" spans="1:83" x14ac:dyDescent="0.25">
      <c r="A233">
        <v>21101714003</v>
      </c>
      <c r="B233">
        <v>59.67</v>
      </c>
      <c r="C233" t="s">
        <v>137</v>
      </c>
      <c r="D233" t="s">
        <v>137</v>
      </c>
      <c r="E233" t="s">
        <v>54</v>
      </c>
      <c r="F233" t="s">
        <v>54</v>
      </c>
      <c r="G233">
        <v>3</v>
      </c>
      <c r="H233" t="s">
        <v>171</v>
      </c>
      <c r="I233">
        <v>405800</v>
      </c>
      <c r="J233">
        <v>262900</v>
      </c>
      <c r="K233">
        <v>59.67</v>
      </c>
      <c r="L233">
        <f>IF(Granger_Inventory[[#This Row],[parcel_acres]]-Granger_Inventory[[#This Row],[non_valued_acres]] =0,0,LN(Granger_Inventory[[#This Row],[parcel_acres]]-Granger_Inventory[[#This Row],[non_valued_acres]]))</f>
        <v>4.0888293815339907</v>
      </c>
      <c r="M233">
        <v>0</v>
      </c>
      <c r="N233">
        <v>0</v>
      </c>
      <c r="O233">
        <v>0</v>
      </c>
      <c r="P233">
        <v>47108.068500000001</v>
      </c>
      <c r="Q233">
        <v>122298</v>
      </c>
      <c r="R233">
        <f>(Granger_Inventory[[#This Row],[ln_acres]]*Granger_Inventory[[#This Row],[coeff]])+Granger_Inventory[[#This Row],[const]]</f>
        <v>314914.85459011584</v>
      </c>
      <c r="S233" t="s">
        <v>62</v>
      </c>
      <c r="T233">
        <v>2</v>
      </c>
      <c r="U233" t="s">
        <v>57</v>
      </c>
      <c r="V233" t="s">
        <v>72</v>
      </c>
      <c r="W233">
        <v>0</v>
      </c>
      <c r="X233">
        <v>0</v>
      </c>
      <c r="Y233">
        <v>51</v>
      </c>
      <c r="Z233">
        <v>53</v>
      </c>
      <c r="AA233">
        <v>60</v>
      </c>
      <c r="AB233">
        <v>3000</v>
      </c>
      <c r="AC233">
        <v>2888</v>
      </c>
      <c r="AD233">
        <v>1444</v>
      </c>
      <c r="AE233">
        <v>1444</v>
      </c>
      <c r="AF233">
        <v>0</v>
      </c>
      <c r="AG233">
        <v>0</v>
      </c>
      <c r="AH233">
        <v>726</v>
      </c>
      <c r="AI233">
        <v>0</v>
      </c>
      <c r="AJ233">
        <v>0</v>
      </c>
      <c r="AK233">
        <v>0</v>
      </c>
      <c r="AL233">
        <v>96</v>
      </c>
      <c r="AM233">
        <v>788</v>
      </c>
      <c r="AN233">
        <v>654</v>
      </c>
      <c r="AO233">
        <v>96</v>
      </c>
      <c r="AP233">
        <v>12</v>
      </c>
      <c r="AQ233">
        <v>1</v>
      </c>
      <c r="AR233">
        <v>1</v>
      </c>
      <c r="AS233" t="s">
        <v>59</v>
      </c>
      <c r="AT233">
        <v>1</v>
      </c>
      <c r="AU233" t="s">
        <v>63</v>
      </c>
      <c r="AV233" t="s">
        <v>65</v>
      </c>
      <c r="AW233">
        <v>1</v>
      </c>
      <c r="AX233">
        <v>5</v>
      </c>
      <c r="AY233">
        <v>0</v>
      </c>
      <c r="AZ233">
        <v>93200</v>
      </c>
      <c r="BA233">
        <v>100</v>
      </c>
      <c r="BB233">
        <v>100</v>
      </c>
      <c r="BC233">
        <v>100</v>
      </c>
      <c r="BD233">
        <v>100</v>
      </c>
      <c r="BE233">
        <v>1</v>
      </c>
      <c r="BF233">
        <v>15000</v>
      </c>
      <c r="BG233">
        <v>1000</v>
      </c>
      <c r="BH233" s="8">
        <f>Granger_Inventory[[#This Row],[land_extract]]*Lookups!$B$3</f>
        <v>187604.47825685338</v>
      </c>
      <c r="BI233" s="8">
        <f>IF(Granger_Inventory[[#This Row],[bldg_style]]="",0,Lookups!$B$2)</f>
        <v>29703.559000000001</v>
      </c>
      <c r="BJ233" s="8">
        <f>_xlfn.IFNA(VLOOKUP(Granger_Inventory[[#This Row],[quality]],Lookups!$H$2:$J$14,3,FALSE),0)</f>
        <v>56414</v>
      </c>
      <c r="BK233" s="8">
        <f>_xlfn.IFNA(VLOOKUP(Granger_Inventory[[#This Row],[condition]],Lookups!$H$17:$J$24,3,FALSE),0)</f>
        <v>94106</v>
      </c>
      <c r="BL233" s="8">
        <f>Granger_Inventory[[#This Row],[Age]]*Lookups!$B$16</f>
        <v>-10988.5483</v>
      </c>
      <c r="BM233" s="8">
        <f>Granger_Inventory[[#This Row],[living_area]]*Lookups!$B$17</f>
        <v>194284.161192</v>
      </c>
      <c r="BN233" s="8">
        <f>(Granger_Inventory[[#This Row],[att_gar]]+Granger_Inventory[[#This Row],[blt_gar]])*Lookups!$B$18</f>
        <v>0</v>
      </c>
      <c r="BO233" s="8">
        <f>Granger_Inventory[[#This Row],[Patio]]*Lookups!$B$19</f>
        <v>42800.295647999999</v>
      </c>
      <c r="BP233" s="8">
        <f>SUM(Granger_Inventory[[#This Row],[Intercept]:[Patio_Value]])*Granger_Inventory[[#This Row],[res_pct]]</f>
        <v>406319.46753999998</v>
      </c>
      <c r="BQ233" s="8">
        <f>Granger_Inventory[[#This Row],[land_value]]</f>
        <v>187604.47825685338</v>
      </c>
      <c r="BR233" s="4">
        <f>_xlfn.IFNA(VLOOKUP(Granger_Inventory[[#This Row],[quality]],Lookups!$A$25:$C$35,3,FALSE),1)</f>
        <v>0.98791809110152173</v>
      </c>
      <c r="BS233" s="4">
        <f>_xlfn.IFNA(VLOOKUP(Granger_Inventory[[#This Row],[condition]],Lookups!$A$38:$C$45,3,FALSE),1)</f>
        <v>0.98658583151544277</v>
      </c>
      <c r="BT233" s="4">
        <f>IF(Granger_Inventory[[#This Row],[decade]]="",1,_xlfn.IFNA(VLOOKUP(Granger_Inventory[[#This Row],[decade]],Lookups!$G$28:$I$42,3,FALSE),1))</f>
        <v>0.86581421791274704</v>
      </c>
      <c r="BU233" s="4">
        <f>_xlfn.IFNA(VLOOKUP(Granger_Inventory[[#This Row],[living_area_range]],Lookups!$A$48:$C$57,3,FALSE),1)</f>
        <v>0.99995754169072248</v>
      </c>
      <c r="BV233" s="4">
        <f>AVERAGE(Granger_Inventory[[#This Row],[qual_adj]:[living_range_adj]])</f>
        <v>0.96006892055510851</v>
      </c>
      <c r="BW233" s="8">
        <f>(Granger_Inventory[[#This Row],[sum_land]]-IF(Granger_Inventory[[#This Row],[no_utilities]]=1,12000,0))/IF(Granger_Inventory[[#This Row],[unbuildable]]=1,2,1)</f>
        <v>187604.47825685338</v>
      </c>
      <c r="BX233" s="8">
        <f>Granger_Inventory[[#This Row],[pre_res]]*Granger_Inventory[[#This Row],[overall_adj]]</f>
        <v>390094.69260165421</v>
      </c>
      <c r="BY233">
        <f>IF(ROUND(Granger_Inventory[[#This Row],[adj_land]]*Lookups!$I$45,-2)&lt;Granger_Inventory[[#This Row],[min_land]],Granger_Inventory[[#This Row],[min_land]],ROUND(Granger_Inventory[[#This Row],[adj_land]]*Lookups!$I$45,-2))</f>
        <v>178200</v>
      </c>
      <c r="BZ233">
        <f>ROUND(Granger_Inventory[[#This Row],[detatched_value]]*Lookups!$I$45,-2)</f>
        <v>88500</v>
      </c>
      <c r="CA233">
        <f>IF(ROUND(Granger_Inventory[[#This Row],[adj_res]]*Lookups!$I$45,-2)&lt;Granger_Inventory[[#This Row],[min_res]],Granger_Inventory[[#This Row],[min_res]],ROUND(Granger_Inventory[[#This Row],[adj_res]]*Lookups!$I$45,-2))</f>
        <v>370600</v>
      </c>
      <c r="CB233">
        <f>Granger_Inventory[[#This Row],[final_det]]+Granger_Inventory[[#This Row],[final_res]]</f>
        <v>459100</v>
      </c>
      <c r="CC233">
        <f>Granger_Inventory[[#This Row],[final_land]]+Granger_Inventory[[#This Row],[final_imp]]+Granger_Inventory[[#This Row],[crop_value]]</f>
        <v>637300</v>
      </c>
      <c r="CE233" t="str">
        <f t="shared" si="3"/>
        <v>update valuation set market_land =178200, market_bldg=459100, market_total =637300, market_mdno =402, market_date ='9/10/2023' where link_id = (select link_id from parcel where parcel_year = '2024' and parcel_id = '21101714003');</v>
      </c>
    </row>
    <row r="234" spans="1:83" x14ac:dyDescent="0.25">
      <c r="A234">
        <v>21102111403</v>
      </c>
      <c r="B234">
        <v>0.14000000000000001</v>
      </c>
      <c r="C234">
        <v>6219</v>
      </c>
      <c r="D234" t="s">
        <v>137</v>
      </c>
      <c r="E234" t="s">
        <v>54</v>
      </c>
      <c r="F234" t="s">
        <v>54</v>
      </c>
      <c r="G234">
        <v>3</v>
      </c>
      <c r="H234" t="s">
        <v>55</v>
      </c>
      <c r="I234">
        <v>95800</v>
      </c>
      <c r="J234">
        <v>25900</v>
      </c>
      <c r="K234">
        <v>0.14000000000000001</v>
      </c>
      <c r="L23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34">
        <v>0</v>
      </c>
      <c r="N234">
        <v>0</v>
      </c>
      <c r="O234">
        <v>0</v>
      </c>
      <c r="P234">
        <v>47108.068500000001</v>
      </c>
      <c r="Q234">
        <v>122298</v>
      </c>
      <c r="R234">
        <f>(Granger_Inventory[[#This Row],[ln_acres]]*Granger_Inventory[[#This Row],[coeff]])+Granger_Inventory[[#This Row],[const]]</f>
        <v>29678.220883257934</v>
      </c>
      <c r="S234" t="s">
        <v>69</v>
      </c>
      <c r="T234">
        <v>1</v>
      </c>
      <c r="U234" t="s">
        <v>71</v>
      </c>
      <c r="V234" t="s">
        <v>79</v>
      </c>
      <c r="W234">
        <v>0</v>
      </c>
      <c r="X234">
        <v>0</v>
      </c>
      <c r="Y234">
        <v>53</v>
      </c>
      <c r="Z234">
        <v>90</v>
      </c>
      <c r="AA234">
        <v>90</v>
      </c>
      <c r="AB234">
        <v>1000</v>
      </c>
      <c r="AC234">
        <v>988</v>
      </c>
      <c r="AD234">
        <v>988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56</v>
      </c>
      <c r="AN234">
        <v>80</v>
      </c>
      <c r="AO234">
        <v>80</v>
      </c>
      <c r="AP234">
        <v>5</v>
      </c>
      <c r="AQ234">
        <v>0</v>
      </c>
      <c r="AR234">
        <v>0</v>
      </c>
      <c r="AS234" t="s">
        <v>59</v>
      </c>
      <c r="AT234">
        <v>1</v>
      </c>
      <c r="AU234" t="s">
        <v>60</v>
      </c>
      <c r="AV234" t="s">
        <v>61</v>
      </c>
      <c r="AW234">
        <v>1</v>
      </c>
      <c r="AX234">
        <v>3</v>
      </c>
      <c r="AY234">
        <v>0</v>
      </c>
      <c r="AZ234">
        <v>7200</v>
      </c>
      <c r="BA234">
        <v>100</v>
      </c>
      <c r="BB234">
        <v>100</v>
      </c>
      <c r="BC234">
        <v>100</v>
      </c>
      <c r="BD234">
        <v>100</v>
      </c>
      <c r="BE234">
        <v>1</v>
      </c>
      <c r="BF234">
        <v>15000</v>
      </c>
      <c r="BG234">
        <v>1000</v>
      </c>
      <c r="BH234" s="8">
        <f>Granger_Inventory[[#This Row],[land_extract]]*Lookups!$B$3</f>
        <v>17680.230269359956</v>
      </c>
      <c r="BI234" s="8">
        <f>IF(Granger_Inventory[[#This Row],[bldg_style]]="",0,Lookups!$B$2)</f>
        <v>29703.559000000001</v>
      </c>
      <c r="BJ234" s="8">
        <f>_xlfn.IFNA(VLOOKUP(Granger_Inventory[[#This Row],[quality]],Lookups!$H$2:$J$14,3,FALSE),0)</f>
        <v>34195</v>
      </c>
      <c r="BK234" s="8">
        <f>_xlfn.IFNA(VLOOKUP(Granger_Inventory[[#This Row],[condition]],Lookups!$H$17:$J$24,3,FALSE),0)</f>
        <v>86727</v>
      </c>
      <c r="BL234" s="8">
        <f>Granger_Inventory[[#This Row],[Age]]*Lookups!$B$16</f>
        <v>-18659.798999999999</v>
      </c>
      <c r="BM234" s="8">
        <f>Granger_Inventory[[#This Row],[living_area]]*Lookups!$B$17</f>
        <v>66465.634091999993</v>
      </c>
      <c r="BN234" s="8">
        <f>(Granger_Inventory[[#This Row],[att_gar]]+Granger_Inventory[[#This Row],[blt_gar]])*Lookups!$B$18</f>
        <v>0</v>
      </c>
      <c r="BO234" s="8">
        <f>Granger_Inventory[[#This Row],[Patio]]*Lookups!$B$19</f>
        <v>3041.6453759999999</v>
      </c>
      <c r="BP234" s="8">
        <f>SUM(Granger_Inventory[[#This Row],[Intercept]:[Patio_Value]])*Granger_Inventory[[#This Row],[res_pct]]</f>
        <v>201473.039468</v>
      </c>
      <c r="BQ234" s="8">
        <f>Granger_Inventory[[#This Row],[land_value]]</f>
        <v>17680.230269359956</v>
      </c>
      <c r="BR234" s="4">
        <f>_xlfn.IFNA(VLOOKUP(Granger_Inventory[[#This Row],[quality]],Lookups!$A$25:$C$35,3,FALSE),1)</f>
        <v>0.98258795897788032</v>
      </c>
      <c r="BS234" s="4">
        <f>_xlfn.IFNA(VLOOKUP(Granger_Inventory[[#This Row],[condition]],Lookups!$A$38:$C$45,3,FALSE),1)</f>
        <v>0.85322907131620684</v>
      </c>
      <c r="BT234" s="4">
        <f>IF(Granger_Inventory[[#This Row],[decade]]="",1,_xlfn.IFNA(VLOOKUP(Granger_Inventory[[#This Row],[decade]],Lookups!$G$28:$I$42,3,FALSE),1))</f>
        <v>0.95234610137492615</v>
      </c>
      <c r="BU234" s="4">
        <f>_xlfn.IFNA(VLOOKUP(Granger_Inventory[[#This Row],[living_area_range]],Lookups!$A$48:$C$57,3,FALSE),1)</f>
        <v>0.81272404900450645</v>
      </c>
      <c r="BV234" s="4">
        <f>AVERAGE(Granger_Inventory[[#This Row],[qual_adj]:[living_range_adj]])</f>
        <v>0.90022179516837997</v>
      </c>
      <c r="BW234" s="8">
        <f>(Granger_Inventory[[#This Row],[sum_land]]-IF(Granger_Inventory[[#This Row],[no_utilities]]=1,12000,0))/IF(Granger_Inventory[[#This Row],[unbuildable]]=1,2,1)</f>
        <v>17680.230269359956</v>
      </c>
      <c r="BX234" s="8">
        <f>Granger_Inventory[[#This Row],[pre_res]]*Granger_Inventory[[#This Row],[overall_adj]]</f>
        <v>181370.42126791284</v>
      </c>
      <c r="BY23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34">
        <f>ROUND(Granger_Inventory[[#This Row],[detatched_value]]*Lookups!$I$45,-2)</f>
        <v>6800</v>
      </c>
      <c r="CA234">
        <f>IF(ROUND(Granger_Inventory[[#This Row],[adj_res]]*Lookups!$I$45,-2)&lt;Granger_Inventory[[#This Row],[min_res]],Granger_Inventory[[#This Row],[min_res]],ROUND(Granger_Inventory[[#This Row],[adj_res]]*Lookups!$I$45,-2))</f>
        <v>172300</v>
      </c>
      <c r="CB234">
        <f>Granger_Inventory[[#This Row],[final_det]]+Granger_Inventory[[#This Row],[final_res]]</f>
        <v>179100</v>
      </c>
      <c r="CC234">
        <f>Granger_Inventory[[#This Row],[final_land]]+Granger_Inventory[[#This Row],[final_imp]]+Granger_Inventory[[#This Row],[crop_value]]</f>
        <v>195900</v>
      </c>
      <c r="CE234" t="str">
        <f t="shared" si="3"/>
        <v>update valuation set market_land =16800, market_bldg=179100, market_total =195900, market_mdno =402, market_date ='9/10/2023' where link_id = (select link_id from parcel where parcel_year = '2024' and parcel_id = '21102111403');</v>
      </c>
    </row>
    <row r="235" spans="1:83" x14ac:dyDescent="0.25">
      <c r="A235">
        <v>21102111406</v>
      </c>
      <c r="B235">
        <v>0.21</v>
      </c>
      <c r="C235">
        <v>9196</v>
      </c>
      <c r="D235" t="s">
        <v>137</v>
      </c>
      <c r="E235" t="s">
        <v>54</v>
      </c>
      <c r="F235" t="s">
        <v>54</v>
      </c>
      <c r="G235">
        <v>3</v>
      </c>
      <c r="H235" t="s">
        <v>55</v>
      </c>
      <c r="I235">
        <v>133000</v>
      </c>
      <c r="J235">
        <v>28300</v>
      </c>
      <c r="K235">
        <v>0.21</v>
      </c>
      <c r="L235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35">
        <v>0</v>
      </c>
      <c r="N235">
        <v>0</v>
      </c>
      <c r="O235">
        <v>0</v>
      </c>
      <c r="P235">
        <v>47108.068500000001</v>
      </c>
      <c r="Q235">
        <v>122298</v>
      </c>
      <c r="R235">
        <f>(Granger_Inventory[[#This Row],[ln_acres]]*Granger_Inventory[[#This Row],[coeff]])+Granger_Inventory[[#This Row],[const]]</f>
        <v>48778.898970377239</v>
      </c>
      <c r="S235" t="s">
        <v>69</v>
      </c>
      <c r="T235">
        <v>1</v>
      </c>
      <c r="U235" t="s">
        <v>71</v>
      </c>
      <c r="V235" t="s">
        <v>77</v>
      </c>
      <c r="W235">
        <v>0</v>
      </c>
      <c r="X235">
        <v>0</v>
      </c>
      <c r="Y235">
        <v>47</v>
      </c>
      <c r="Z235">
        <v>57</v>
      </c>
      <c r="AA235">
        <v>60</v>
      </c>
      <c r="AB235">
        <v>1500</v>
      </c>
      <c r="AC235">
        <v>1365</v>
      </c>
      <c r="AD235">
        <v>1365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264</v>
      </c>
      <c r="AL235">
        <v>0</v>
      </c>
      <c r="AM235">
        <v>0</v>
      </c>
      <c r="AN235">
        <v>49</v>
      </c>
      <c r="AO235">
        <v>0</v>
      </c>
      <c r="AP235">
        <v>5</v>
      </c>
      <c r="AQ235">
        <v>0</v>
      </c>
      <c r="AR235">
        <v>0</v>
      </c>
      <c r="AS235" t="s">
        <v>59</v>
      </c>
      <c r="AT235">
        <v>1</v>
      </c>
      <c r="AU235" t="s">
        <v>60</v>
      </c>
      <c r="AV235" t="s">
        <v>61</v>
      </c>
      <c r="AW235">
        <v>0</v>
      </c>
      <c r="AX235">
        <v>3</v>
      </c>
      <c r="AY235">
        <v>0</v>
      </c>
      <c r="AZ235">
        <v>0</v>
      </c>
      <c r="BA235">
        <v>100</v>
      </c>
      <c r="BB235">
        <v>100</v>
      </c>
      <c r="BC235">
        <v>100</v>
      </c>
      <c r="BD235">
        <v>100</v>
      </c>
      <c r="BE235">
        <v>1</v>
      </c>
      <c r="BF235">
        <v>15000</v>
      </c>
      <c r="BG235">
        <v>1000</v>
      </c>
      <c r="BH235" s="8">
        <f>Granger_Inventory[[#This Row],[land_extract]]*Lookups!$B$3</f>
        <v>29059.09250674201</v>
      </c>
      <c r="BI235" s="8">
        <f>IF(Granger_Inventory[[#This Row],[bldg_style]]="",0,Lookups!$B$2)</f>
        <v>29703.559000000001</v>
      </c>
      <c r="BJ235" s="8">
        <f>_xlfn.IFNA(VLOOKUP(Granger_Inventory[[#This Row],[quality]],Lookups!$H$2:$J$14,3,FALSE),0)</f>
        <v>34195</v>
      </c>
      <c r="BK235" s="8">
        <f>_xlfn.IFNA(VLOOKUP(Granger_Inventory[[#This Row],[condition]],Lookups!$H$17:$J$24,3,FALSE),0)</f>
        <v>33736</v>
      </c>
      <c r="BL235" s="8">
        <f>Granger_Inventory[[#This Row],[Age]]*Lookups!$B$16</f>
        <v>-11817.8727</v>
      </c>
      <c r="BM235" s="8">
        <f>Granger_Inventory[[#This Row],[living_area]]*Lookups!$B$17</f>
        <v>91827.520785000001</v>
      </c>
      <c r="BN235" s="8">
        <f>(Granger_Inventory[[#This Row],[att_gar]]+Granger_Inventory[[#This Row],[blt_gar]])*Lookups!$B$18</f>
        <v>0</v>
      </c>
      <c r="BO235" s="8">
        <f>Granger_Inventory[[#This Row],[Patio]]*Lookups!$B$19</f>
        <v>0</v>
      </c>
      <c r="BP235" s="8">
        <f>SUM(Granger_Inventory[[#This Row],[Intercept]:[Patio_Value]])*Granger_Inventory[[#This Row],[res_pct]]</f>
        <v>177644.207085</v>
      </c>
      <c r="BQ235" s="8">
        <f>Granger_Inventory[[#This Row],[land_value]]</f>
        <v>29059.09250674201</v>
      </c>
      <c r="BR235" s="4">
        <f>_xlfn.IFNA(VLOOKUP(Granger_Inventory[[#This Row],[quality]],Lookups!$A$25:$C$35,3,FALSE),1)</f>
        <v>0.98258795897788032</v>
      </c>
      <c r="BS235" s="4">
        <f>_xlfn.IFNA(VLOOKUP(Granger_Inventory[[#This Row],[condition]],Lookups!$A$38:$C$45,3,FALSE),1)</f>
        <v>0.92294678898076177</v>
      </c>
      <c r="BT235" s="4">
        <f>IF(Granger_Inventory[[#This Row],[decade]]="",1,_xlfn.IFNA(VLOOKUP(Granger_Inventory[[#This Row],[decade]],Lookups!$G$28:$I$42,3,FALSE),1))</f>
        <v>0.86581421791274704</v>
      </c>
      <c r="BU235" s="4">
        <f>_xlfn.IFNA(VLOOKUP(Granger_Inventory[[#This Row],[living_area_range]],Lookups!$A$48:$C$57,3,FALSE),1)</f>
        <v>0.97960506760539345</v>
      </c>
      <c r="BV235" s="4">
        <f>AVERAGE(Granger_Inventory[[#This Row],[qual_adj]:[living_range_adj]])</f>
        <v>0.93773850836919559</v>
      </c>
      <c r="BW235" s="8">
        <f>(Granger_Inventory[[#This Row],[sum_land]]-IF(Granger_Inventory[[#This Row],[no_utilities]]=1,12000,0))/IF(Granger_Inventory[[#This Row],[unbuildable]]=1,2,1)</f>
        <v>29059.09250674201</v>
      </c>
      <c r="BX235" s="8">
        <f>Granger_Inventory[[#This Row],[pre_res]]*Granger_Inventory[[#This Row],[overall_adj]]</f>
        <v>166583.81377231638</v>
      </c>
      <c r="BY235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35">
        <f>ROUND(Granger_Inventory[[#This Row],[detatched_value]]*Lookups!$I$45,-2)</f>
        <v>0</v>
      </c>
      <c r="CA235">
        <f>IF(ROUND(Granger_Inventory[[#This Row],[adj_res]]*Lookups!$I$45,-2)&lt;Granger_Inventory[[#This Row],[min_res]],Granger_Inventory[[#This Row],[min_res]],ROUND(Granger_Inventory[[#This Row],[adj_res]]*Lookups!$I$45,-2))</f>
        <v>158300</v>
      </c>
      <c r="CB235">
        <f>Granger_Inventory[[#This Row],[final_det]]+Granger_Inventory[[#This Row],[final_res]]</f>
        <v>158300</v>
      </c>
      <c r="CC235">
        <f>Granger_Inventory[[#This Row],[final_land]]+Granger_Inventory[[#This Row],[final_imp]]+Granger_Inventory[[#This Row],[crop_value]]</f>
        <v>185900</v>
      </c>
      <c r="CE235" t="str">
        <f t="shared" si="3"/>
        <v>update valuation set market_land =27600, market_bldg=158300, market_total =185900, market_mdno =402, market_date ='9/10/2023' where link_id = (select link_id from parcel where parcel_year = '2024' and parcel_id = '21102111406');</v>
      </c>
    </row>
    <row r="236" spans="1:83" x14ac:dyDescent="0.25">
      <c r="A236">
        <v>21102111408</v>
      </c>
      <c r="B236">
        <v>0.15</v>
      </c>
      <c r="C236">
        <v>6557</v>
      </c>
      <c r="D236" t="s">
        <v>137</v>
      </c>
      <c r="E236" t="s">
        <v>54</v>
      </c>
      <c r="F236" t="s">
        <v>54</v>
      </c>
      <c r="G236">
        <v>3</v>
      </c>
      <c r="H236" t="s">
        <v>55</v>
      </c>
      <c r="I236">
        <v>119400</v>
      </c>
      <c r="J236">
        <v>26300</v>
      </c>
      <c r="K236">
        <v>0.15</v>
      </c>
      <c r="L23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36">
        <v>0</v>
      </c>
      <c r="N236">
        <v>0</v>
      </c>
      <c r="O236">
        <v>0</v>
      </c>
      <c r="P236">
        <v>47108.068500000001</v>
      </c>
      <c r="Q236">
        <v>122298</v>
      </c>
      <c r="R236">
        <f>(Granger_Inventory[[#This Row],[ln_acres]]*Granger_Inventory[[#This Row],[coeff]])+Granger_Inventory[[#This Row],[const]]</f>
        <v>32928.341799276939</v>
      </c>
      <c r="S236" t="s">
        <v>56</v>
      </c>
      <c r="T236">
        <v>1</v>
      </c>
      <c r="U236" t="s">
        <v>71</v>
      </c>
      <c r="V236" t="s">
        <v>77</v>
      </c>
      <c r="W236">
        <v>0</v>
      </c>
      <c r="X236">
        <v>0</v>
      </c>
      <c r="Y236">
        <v>42</v>
      </c>
      <c r="Z236">
        <v>42</v>
      </c>
      <c r="AA236">
        <v>50</v>
      </c>
      <c r="AB236">
        <v>1500</v>
      </c>
      <c r="AC236">
        <v>1040</v>
      </c>
      <c r="AD236">
        <v>1040</v>
      </c>
      <c r="AE236">
        <v>0</v>
      </c>
      <c r="AF236">
        <v>0</v>
      </c>
      <c r="AG236">
        <v>0</v>
      </c>
      <c r="AH236">
        <v>0</v>
      </c>
      <c r="AI236">
        <v>252</v>
      </c>
      <c r="AJ236">
        <v>0</v>
      </c>
      <c r="AK236">
        <v>0</v>
      </c>
      <c r="AL236">
        <v>0</v>
      </c>
      <c r="AM236">
        <v>0</v>
      </c>
      <c r="AN236">
        <v>56</v>
      </c>
      <c r="AO236">
        <v>0</v>
      </c>
      <c r="AP236">
        <v>5</v>
      </c>
      <c r="AQ236">
        <v>0</v>
      </c>
      <c r="AR236">
        <v>0</v>
      </c>
      <c r="AS236" t="s">
        <v>59</v>
      </c>
      <c r="AT236">
        <v>1</v>
      </c>
      <c r="AU236" t="s">
        <v>76</v>
      </c>
      <c r="AV236" t="s">
        <v>65</v>
      </c>
      <c r="AW236">
        <v>0</v>
      </c>
      <c r="AX236">
        <v>3</v>
      </c>
      <c r="AY236">
        <v>0</v>
      </c>
      <c r="AZ236">
        <v>0</v>
      </c>
      <c r="BA236">
        <v>100</v>
      </c>
      <c r="BB236">
        <v>100</v>
      </c>
      <c r="BC236">
        <v>100</v>
      </c>
      <c r="BD236">
        <v>100</v>
      </c>
      <c r="BE236">
        <v>1</v>
      </c>
      <c r="BF236">
        <v>15000</v>
      </c>
      <c r="BG236">
        <v>1000</v>
      </c>
      <c r="BH236" s="8">
        <f>Granger_Inventory[[#This Row],[land_extract]]*Lookups!$B$3</f>
        <v>19616.42740275669</v>
      </c>
      <c r="BI236" s="8">
        <f>IF(Granger_Inventory[[#This Row],[bldg_style]]="",0,Lookups!$B$2)</f>
        <v>29703.559000000001</v>
      </c>
      <c r="BJ236" s="8">
        <f>_xlfn.IFNA(VLOOKUP(Granger_Inventory[[#This Row],[quality]],Lookups!$H$2:$J$14,3,FALSE),0)</f>
        <v>34195</v>
      </c>
      <c r="BK236" s="8">
        <f>_xlfn.IFNA(VLOOKUP(Granger_Inventory[[#This Row],[condition]],Lookups!$H$17:$J$24,3,FALSE),0)</f>
        <v>33736</v>
      </c>
      <c r="BL236" s="8">
        <f>Granger_Inventory[[#This Row],[Age]]*Lookups!$B$16</f>
        <v>-8707.9061999999994</v>
      </c>
      <c r="BM236" s="8">
        <f>Granger_Inventory[[#This Row],[living_area]]*Lookups!$B$17</f>
        <v>69963.825360000003</v>
      </c>
      <c r="BN236" s="8">
        <f>(Granger_Inventory[[#This Row],[att_gar]]+Granger_Inventory[[#This Row],[blt_gar]])*Lookups!$B$18</f>
        <v>12208.791671999999</v>
      </c>
      <c r="BO236" s="8">
        <f>Granger_Inventory[[#This Row],[Patio]]*Lookups!$B$19</f>
        <v>0</v>
      </c>
      <c r="BP236" s="8">
        <f>SUM(Granger_Inventory[[#This Row],[Intercept]:[Patio_Value]])*Granger_Inventory[[#This Row],[res_pct]]</f>
        <v>171099.26983199999</v>
      </c>
      <c r="BQ236" s="8">
        <f>Granger_Inventory[[#This Row],[land_value]]</f>
        <v>19616.42740275669</v>
      </c>
      <c r="BR236" s="4">
        <f>_xlfn.IFNA(VLOOKUP(Granger_Inventory[[#This Row],[quality]],Lookups!$A$25:$C$35,3,FALSE),1)</f>
        <v>0.98258795897788032</v>
      </c>
      <c r="BS236" s="4">
        <f>_xlfn.IFNA(VLOOKUP(Granger_Inventory[[#This Row],[condition]],Lookups!$A$38:$C$45,3,FALSE),1)</f>
        <v>0.92294678898076177</v>
      </c>
      <c r="BT236" s="4">
        <f>IF(Granger_Inventory[[#This Row],[decade]]="",1,_xlfn.IFNA(VLOOKUP(Granger_Inventory[[#This Row],[decade]],Lookups!$G$28:$I$42,3,FALSE),1))</f>
        <v>1.2441094871772171</v>
      </c>
      <c r="BU236" s="4">
        <f>_xlfn.IFNA(VLOOKUP(Granger_Inventory[[#This Row],[living_area_range]],Lookups!$A$48:$C$57,3,FALSE),1)</f>
        <v>0.97960506760539345</v>
      </c>
      <c r="BV236" s="4">
        <f>AVERAGE(Granger_Inventory[[#This Row],[qual_adj]:[living_range_adj]])</f>
        <v>1.0323123256853131</v>
      </c>
      <c r="BW236" s="8">
        <f>(Granger_Inventory[[#This Row],[sum_land]]-IF(Granger_Inventory[[#This Row],[no_utilities]]=1,12000,0))/IF(Granger_Inventory[[#This Row],[unbuildable]]=1,2,1)</f>
        <v>19616.42740275669</v>
      </c>
      <c r="BX236" s="8">
        <f>Granger_Inventory[[#This Row],[pre_res]]*Granger_Inventory[[#This Row],[overall_adj]]</f>
        <v>176627.88516333082</v>
      </c>
      <c r="BY23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36">
        <f>ROUND(Granger_Inventory[[#This Row],[detatched_value]]*Lookups!$I$45,-2)</f>
        <v>0</v>
      </c>
      <c r="CA236">
        <f>IF(ROUND(Granger_Inventory[[#This Row],[adj_res]]*Lookups!$I$45,-2)&lt;Granger_Inventory[[#This Row],[min_res]],Granger_Inventory[[#This Row],[min_res]],ROUND(Granger_Inventory[[#This Row],[adj_res]]*Lookups!$I$45,-2))</f>
        <v>167800</v>
      </c>
      <c r="CB236">
        <f>Granger_Inventory[[#This Row],[final_det]]+Granger_Inventory[[#This Row],[final_res]]</f>
        <v>167800</v>
      </c>
      <c r="CC236">
        <f>Granger_Inventory[[#This Row],[final_land]]+Granger_Inventory[[#This Row],[final_imp]]+Granger_Inventory[[#This Row],[crop_value]]</f>
        <v>186400</v>
      </c>
      <c r="CE236" t="str">
        <f t="shared" si="3"/>
        <v>update valuation set market_land =18600, market_bldg=167800, market_total =186400, market_mdno =402, market_date ='9/10/2023' where link_id = (select link_id from parcel where parcel_year = '2024' and parcel_id = '21102111408');</v>
      </c>
    </row>
    <row r="237" spans="1:83" x14ac:dyDescent="0.25">
      <c r="A237">
        <v>21102111411</v>
      </c>
      <c r="B237">
        <v>0.15</v>
      </c>
      <c r="C237">
        <v>6596</v>
      </c>
      <c r="D237" t="s">
        <v>137</v>
      </c>
      <c r="E237" t="s">
        <v>54</v>
      </c>
      <c r="F237" t="s">
        <v>54</v>
      </c>
      <c r="G237">
        <v>3</v>
      </c>
      <c r="H237" t="s">
        <v>55</v>
      </c>
      <c r="I237">
        <v>164300</v>
      </c>
      <c r="J237">
        <v>26300</v>
      </c>
      <c r="K237">
        <v>0.15</v>
      </c>
      <c r="L23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37">
        <v>0</v>
      </c>
      <c r="N237">
        <v>0</v>
      </c>
      <c r="O237">
        <v>0</v>
      </c>
      <c r="P237">
        <v>47108.068500000001</v>
      </c>
      <c r="Q237">
        <v>122298</v>
      </c>
      <c r="R237">
        <f>(Granger_Inventory[[#This Row],[ln_acres]]*Granger_Inventory[[#This Row],[coeff]])+Granger_Inventory[[#This Row],[const]]</f>
        <v>32928.341799276939</v>
      </c>
      <c r="S237" t="s">
        <v>62</v>
      </c>
      <c r="T237">
        <v>2</v>
      </c>
      <c r="U237" t="s">
        <v>78</v>
      </c>
      <c r="V237" t="s">
        <v>79</v>
      </c>
      <c r="W237">
        <v>0</v>
      </c>
      <c r="X237">
        <v>0</v>
      </c>
      <c r="Y237">
        <v>53</v>
      </c>
      <c r="Z237">
        <v>92</v>
      </c>
      <c r="AA237">
        <v>100</v>
      </c>
      <c r="AB237">
        <v>2000</v>
      </c>
      <c r="AC237">
        <v>1718</v>
      </c>
      <c r="AD237">
        <v>1338</v>
      </c>
      <c r="AE237">
        <v>380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241</v>
      </c>
      <c r="AN237">
        <v>0</v>
      </c>
      <c r="AO237">
        <v>0</v>
      </c>
      <c r="AP237">
        <v>5</v>
      </c>
      <c r="AQ237">
        <v>0</v>
      </c>
      <c r="AR237">
        <v>0</v>
      </c>
      <c r="AS237" t="s">
        <v>59</v>
      </c>
      <c r="AT237">
        <v>1</v>
      </c>
      <c r="AU237" t="s">
        <v>68</v>
      </c>
      <c r="AV237" t="s">
        <v>65</v>
      </c>
      <c r="AW237">
        <v>0</v>
      </c>
      <c r="AX237">
        <v>5</v>
      </c>
      <c r="AY237">
        <v>0</v>
      </c>
      <c r="AZ237">
        <v>0</v>
      </c>
      <c r="BA237">
        <v>100</v>
      </c>
      <c r="BB237">
        <v>100</v>
      </c>
      <c r="BC237">
        <v>100</v>
      </c>
      <c r="BD237">
        <v>100</v>
      </c>
      <c r="BE237">
        <v>1</v>
      </c>
      <c r="BF237">
        <v>15000</v>
      </c>
      <c r="BG237">
        <v>1000</v>
      </c>
      <c r="BH237" s="8">
        <f>Granger_Inventory[[#This Row],[land_extract]]*Lookups!$B$3</f>
        <v>19616.42740275669</v>
      </c>
      <c r="BI237" s="8">
        <f>IF(Granger_Inventory[[#This Row],[bldg_style]]="",0,Lookups!$B$2)</f>
        <v>29703.559000000001</v>
      </c>
      <c r="BJ237" s="8">
        <f>_xlfn.IFNA(VLOOKUP(Granger_Inventory[[#This Row],[quality]],Lookups!$H$2:$J$14,3,FALSE),0)</f>
        <v>23737.786340274597</v>
      </c>
      <c r="BK237" s="8">
        <f>_xlfn.IFNA(VLOOKUP(Granger_Inventory[[#This Row],[condition]],Lookups!$H$17:$J$24,3,FALSE),0)</f>
        <v>86727</v>
      </c>
      <c r="BL237" s="8">
        <f>Granger_Inventory[[#This Row],[Age]]*Lookups!$B$16</f>
        <v>-19074.461199999998</v>
      </c>
      <c r="BM237" s="8">
        <f>Granger_Inventory[[#This Row],[living_area]]*Lookups!$B$17</f>
        <v>115574.85766199999</v>
      </c>
      <c r="BN237" s="8">
        <f>(Granger_Inventory[[#This Row],[att_gar]]+Granger_Inventory[[#This Row],[blt_gar]])*Lookups!$B$18</f>
        <v>0</v>
      </c>
      <c r="BO237" s="8">
        <f>Granger_Inventory[[#This Row],[Patio]]*Lookups!$B$19</f>
        <v>13089.938135999999</v>
      </c>
      <c r="BP237" s="8">
        <f>SUM(Granger_Inventory[[#This Row],[Intercept]:[Patio_Value]])*Granger_Inventory[[#This Row],[res_pct]]</f>
        <v>249758.67993827461</v>
      </c>
      <c r="BQ237" s="8">
        <f>Granger_Inventory[[#This Row],[land_value]]</f>
        <v>19616.42740275669</v>
      </c>
      <c r="BR237" s="4">
        <f>_xlfn.IFNA(VLOOKUP(Granger_Inventory[[#This Row],[quality]],Lookups!$A$25:$C$35,3,FALSE),1)</f>
        <v>0.77695375541795109</v>
      </c>
      <c r="BS237" s="4">
        <f>_xlfn.IFNA(VLOOKUP(Granger_Inventory[[#This Row],[condition]],Lookups!$A$38:$C$45,3,FALSE),1)</f>
        <v>0.85322907131620684</v>
      </c>
      <c r="BT237" s="4">
        <f>IF(Granger_Inventory[[#This Row],[decade]]="",1,_xlfn.IFNA(VLOOKUP(Granger_Inventory[[#This Row],[decade]],Lookups!$G$28:$I$42,3,FALSE),1))</f>
        <v>0.879441629375324</v>
      </c>
      <c r="BU237" s="4">
        <f>_xlfn.IFNA(VLOOKUP(Granger_Inventory[[#This Row],[living_area_range]],Lookups!$A$48:$C$57,3,FALSE),1)</f>
        <v>0.97860968051050168</v>
      </c>
      <c r="BV237" s="4">
        <f>AVERAGE(Granger_Inventory[[#This Row],[qual_adj]:[living_range_adj]])</f>
        <v>0.87205853415499601</v>
      </c>
      <c r="BW237" s="8">
        <f>(Granger_Inventory[[#This Row],[sum_land]]-IF(Granger_Inventory[[#This Row],[no_utilities]]=1,12000,0))/IF(Granger_Inventory[[#This Row],[unbuildable]]=1,2,1)</f>
        <v>19616.42740275669</v>
      </c>
      <c r="BX237" s="8">
        <f>Granger_Inventory[[#This Row],[pre_res]]*Granger_Inventory[[#This Row],[overall_adj]]</f>
        <v>217804.18831945857</v>
      </c>
      <c r="BY23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37">
        <f>ROUND(Granger_Inventory[[#This Row],[detatched_value]]*Lookups!$I$45,-2)</f>
        <v>0</v>
      </c>
      <c r="CA237">
        <f>IF(ROUND(Granger_Inventory[[#This Row],[adj_res]]*Lookups!$I$45,-2)&lt;Granger_Inventory[[#This Row],[min_res]],Granger_Inventory[[#This Row],[min_res]],ROUND(Granger_Inventory[[#This Row],[adj_res]]*Lookups!$I$45,-2))</f>
        <v>206900</v>
      </c>
      <c r="CB237">
        <f>Granger_Inventory[[#This Row],[final_det]]+Granger_Inventory[[#This Row],[final_res]]</f>
        <v>206900</v>
      </c>
      <c r="CC237">
        <f>Granger_Inventory[[#This Row],[final_land]]+Granger_Inventory[[#This Row],[final_imp]]+Granger_Inventory[[#This Row],[crop_value]]</f>
        <v>225500</v>
      </c>
      <c r="CE237" t="str">
        <f t="shared" si="3"/>
        <v>update valuation set market_land =18600, market_bldg=206900, market_total =225500, market_mdno =402, market_date ='9/10/2023' where link_id = (select link_id from parcel where parcel_year = '2024' and parcel_id = '21102111411');</v>
      </c>
    </row>
    <row r="238" spans="1:83" x14ac:dyDescent="0.25">
      <c r="A238">
        <v>21102111413</v>
      </c>
      <c r="B238">
        <v>0.27</v>
      </c>
      <c r="C238">
        <v>11583</v>
      </c>
      <c r="D238" t="s">
        <v>137</v>
      </c>
      <c r="E238" t="s">
        <v>54</v>
      </c>
      <c r="F238" t="s">
        <v>54</v>
      </c>
      <c r="G238">
        <v>3</v>
      </c>
      <c r="H238" t="s">
        <v>55</v>
      </c>
      <c r="I238">
        <v>92300</v>
      </c>
      <c r="J238">
        <v>29800</v>
      </c>
      <c r="K238">
        <v>0.27</v>
      </c>
      <c r="L238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238">
        <v>0</v>
      </c>
      <c r="N238">
        <v>0</v>
      </c>
      <c r="O238">
        <v>0</v>
      </c>
      <c r="P238">
        <v>47108.068500000001</v>
      </c>
      <c r="Q238">
        <v>122298</v>
      </c>
      <c r="R238">
        <f>(Granger_Inventory[[#This Row],[ln_acres]]*Granger_Inventory[[#This Row],[coeff]])+Granger_Inventory[[#This Row],[const]]</f>
        <v>60617.836272872511</v>
      </c>
      <c r="S238" t="s">
        <v>66</v>
      </c>
      <c r="T238">
        <v>1</v>
      </c>
      <c r="U238" t="s">
        <v>71</v>
      </c>
      <c r="V238" t="s">
        <v>77</v>
      </c>
      <c r="W238">
        <v>0</v>
      </c>
      <c r="X238">
        <v>0</v>
      </c>
      <c r="Y238">
        <v>52</v>
      </c>
      <c r="Z238">
        <v>88</v>
      </c>
      <c r="AA238">
        <v>90</v>
      </c>
      <c r="AB238">
        <v>1000</v>
      </c>
      <c r="AC238">
        <v>930</v>
      </c>
      <c r="AD238">
        <v>930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20</v>
      </c>
      <c r="AO238">
        <v>0</v>
      </c>
      <c r="AP238">
        <v>5</v>
      </c>
      <c r="AQ238">
        <v>0</v>
      </c>
      <c r="AR238">
        <v>0</v>
      </c>
      <c r="AS238" t="s">
        <v>59</v>
      </c>
      <c r="AT238">
        <v>1</v>
      </c>
      <c r="AU238" t="s">
        <v>68</v>
      </c>
      <c r="AV238" t="s">
        <v>65</v>
      </c>
      <c r="AW238">
        <v>0</v>
      </c>
      <c r="AX238">
        <v>2</v>
      </c>
      <c r="AY238">
        <v>0</v>
      </c>
      <c r="AZ238">
        <v>7100</v>
      </c>
      <c r="BA238">
        <v>100</v>
      </c>
      <c r="BB238">
        <v>100</v>
      </c>
      <c r="BC238">
        <v>100</v>
      </c>
      <c r="BD238">
        <v>100</v>
      </c>
      <c r="BE238">
        <v>1</v>
      </c>
      <c r="BF238">
        <v>15000</v>
      </c>
      <c r="BG238">
        <v>1000</v>
      </c>
      <c r="BH238" s="8">
        <f>Granger_Inventory[[#This Row],[land_extract]]*Lookups!$B$3</f>
        <v>36111.912097107357</v>
      </c>
      <c r="BI238" s="8">
        <f>IF(Granger_Inventory[[#This Row],[bldg_style]]="",0,Lookups!$B$2)</f>
        <v>29703.559000000001</v>
      </c>
      <c r="BJ238" s="8">
        <f>_xlfn.IFNA(VLOOKUP(Granger_Inventory[[#This Row],[quality]],Lookups!$H$2:$J$14,3,FALSE),0)</f>
        <v>34195</v>
      </c>
      <c r="BK238" s="8">
        <f>_xlfn.IFNA(VLOOKUP(Granger_Inventory[[#This Row],[condition]],Lookups!$H$17:$J$24,3,FALSE),0)</f>
        <v>33736</v>
      </c>
      <c r="BL238" s="8">
        <f>Granger_Inventory[[#This Row],[Age]]*Lookups!$B$16</f>
        <v>-18245.1368</v>
      </c>
      <c r="BM238" s="8">
        <f>Granger_Inventory[[#This Row],[living_area]]*Lookups!$B$17</f>
        <v>62563.805370000002</v>
      </c>
      <c r="BN238" s="8">
        <f>(Granger_Inventory[[#This Row],[att_gar]]+Granger_Inventory[[#This Row],[blt_gar]])*Lookups!$B$18</f>
        <v>0</v>
      </c>
      <c r="BO238" s="8">
        <f>Granger_Inventory[[#This Row],[Patio]]*Lookups!$B$19</f>
        <v>0</v>
      </c>
      <c r="BP238" s="8">
        <f>SUM(Granger_Inventory[[#This Row],[Intercept]:[Patio_Value]])*Granger_Inventory[[#This Row],[res_pct]]</f>
        <v>141953.22756999999</v>
      </c>
      <c r="BQ238" s="8">
        <f>Granger_Inventory[[#This Row],[land_value]]</f>
        <v>36111.912097107357</v>
      </c>
      <c r="BR238" s="4">
        <f>_xlfn.IFNA(VLOOKUP(Granger_Inventory[[#This Row],[quality]],Lookups!$A$25:$C$35,3,FALSE),1)</f>
        <v>0.98258795897788032</v>
      </c>
      <c r="BS238" s="4">
        <f>_xlfn.IFNA(VLOOKUP(Granger_Inventory[[#This Row],[condition]],Lookups!$A$38:$C$45,3,FALSE),1)</f>
        <v>0.92294678898076177</v>
      </c>
      <c r="BT238" s="4">
        <f>IF(Granger_Inventory[[#This Row],[decade]]="",1,_xlfn.IFNA(VLOOKUP(Granger_Inventory[[#This Row],[decade]],Lookups!$G$28:$I$42,3,FALSE),1))</f>
        <v>0.95234610137492615</v>
      </c>
      <c r="BU238" s="4">
        <f>_xlfn.IFNA(VLOOKUP(Granger_Inventory[[#This Row],[living_area_range]],Lookups!$A$48:$C$57,3,FALSE),1)</f>
        <v>0.81272404900450645</v>
      </c>
      <c r="BV238" s="4">
        <f>AVERAGE(Granger_Inventory[[#This Row],[qual_adj]:[living_range_adj]])</f>
        <v>0.91765122458451864</v>
      </c>
      <c r="BW238" s="8">
        <f>(Granger_Inventory[[#This Row],[sum_land]]-IF(Granger_Inventory[[#This Row],[no_utilities]]=1,12000,0))/IF(Granger_Inventory[[#This Row],[unbuildable]]=1,2,1)</f>
        <v>36111.912097107357</v>
      </c>
      <c r="BX238" s="8">
        <f>Granger_Inventory[[#This Row],[pre_res]]*Granger_Inventory[[#This Row],[overall_adj]]</f>
        <v>130263.55311333534</v>
      </c>
      <c r="BY238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238">
        <f>ROUND(Granger_Inventory[[#This Row],[detatched_value]]*Lookups!$I$45,-2)</f>
        <v>6700</v>
      </c>
      <c r="CA238">
        <f>IF(ROUND(Granger_Inventory[[#This Row],[adj_res]]*Lookups!$I$45,-2)&lt;Granger_Inventory[[#This Row],[min_res]],Granger_Inventory[[#This Row],[min_res]],ROUND(Granger_Inventory[[#This Row],[adj_res]]*Lookups!$I$45,-2))</f>
        <v>123800</v>
      </c>
      <c r="CB238">
        <f>Granger_Inventory[[#This Row],[final_det]]+Granger_Inventory[[#This Row],[final_res]]</f>
        <v>130500</v>
      </c>
      <c r="CC238">
        <f>Granger_Inventory[[#This Row],[final_land]]+Granger_Inventory[[#This Row],[final_imp]]+Granger_Inventory[[#This Row],[crop_value]]</f>
        <v>164800</v>
      </c>
      <c r="CE238" t="str">
        <f t="shared" si="3"/>
        <v>update valuation set market_land =34300, market_bldg=130500, market_total =164800, market_mdno =402, market_date ='9/10/2023' where link_id = (select link_id from parcel where parcel_year = '2024' and parcel_id = '21102111413');</v>
      </c>
    </row>
    <row r="239" spans="1:83" x14ac:dyDescent="0.25">
      <c r="A239">
        <v>21102111414</v>
      </c>
      <c r="B239">
        <v>0.2</v>
      </c>
      <c r="C239">
        <v>8512</v>
      </c>
      <c r="D239" t="s">
        <v>137</v>
      </c>
      <c r="E239" t="s">
        <v>54</v>
      </c>
      <c r="F239" t="s">
        <v>54</v>
      </c>
      <c r="G239">
        <v>3</v>
      </c>
      <c r="H239" t="s">
        <v>55</v>
      </c>
      <c r="I239">
        <v>139400</v>
      </c>
      <c r="J239">
        <v>28000</v>
      </c>
      <c r="K239">
        <v>0.2</v>
      </c>
      <c r="L239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39">
        <v>0</v>
      </c>
      <c r="N239">
        <v>0</v>
      </c>
      <c r="O239">
        <v>0</v>
      </c>
      <c r="P239">
        <v>47108.068500000001</v>
      </c>
      <c r="Q239">
        <v>122298</v>
      </c>
      <c r="R239">
        <f>(Granger_Inventory[[#This Row],[ln_acres]]*Granger_Inventory[[#This Row],[coeff]])+Granger_Inventory[[#This Row],[const]]</f>
        <v>46480.488574557399</v>
      </c>
      <c r="S239" t="s">
        <v>69</v>
      </c>
      <c r="T239">
        <v>1</v>
      </c>
      <c r="U239" t="s">
        <v>64</v>
      </c>
      <c r="V239" t="s">
        <v>77</v>
      </c>
      <c r="W239">
        <v>0</v>
      </c>
      <c r="X239">
        <v>0</v>
      </c>
      <c r="Y239">
        <v>48</v>
      </c>
      <c r="Z239">
        <v>63</v>
      </c>
      <c r="AA239">
        <v>70</v>
      </c>
      <c r="AB239">
        <v>1500</v>
      </c>
      <c r="AC239">
        <v>1396</v>
      </c>
      <c r="AD239">
        <v>1396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240</v>
      </c>
      <c r="AN239">
        <v>40</v>
      </c>
      <c r="AO239">
        <v>240</v>
      </c>
      <c r="AP239">
        <v>8</v>
      </c>
      <c r="AQ239">
        <v>0</v>
      </c>
      <c r="AR239">
        <v>1</v>
      </c>
      <c r="AS239" t="s">
        <v>59</v>
      </c>
      <c r="AT239">
        <v>1</v>
      </c>
      <c r="AU239" t="s">
        <v>60</v>
      </c>
      <c r="AV239" t="s">
        <v>61</v>
      </c>
      <c r="AW239">
        <v>0</v>
      </c>
      <c r="AX239">
        <v>2</v>
      </c>
      <c r="AY239">
        <v>0</v>
      </c>
      <c r="AZ239">
        <v>11300</v>
      </c>
      <c r="BA239">
        <v>100</v>
      </c>
      <c r="BB239">
        <v>100</v>
      </c>
      <c r="BC239">
        <v>100</v>
      </c>
      <c r="BD239">
        <v>100</v>
      </c>
      <c r="BE239">
        <v>1</v>
      </c>
      <c r="BF239">
        <v>15000</v>
      </c>
      <c r="BG239">
        <v>1000</v>
      </c>
      <c r="BH239" s="8">
        <f>Granger_Inventory[[#This Row],[land_extract]]*Lookups!$B$3</f>
        <v>27689.858642911939</v>
      </c>
      <c r="BI239" s="8">
        <f>IF(Granger_Inventory[[#This Row],[bldg_style]]="",0,Lookups!$B$2)</f>
        <v>29703.559000000001</v>
      </c>
      <c r="BJ239" s="8">
        <f>_xlfn.IFNA(VLOOKUP(Granger_Inventory[[#This Row],[quality]],Lookups!$H$2:$J$14,3,FALSE),0)</f>
        <v>36568</v>
      </c>
      <c r="BK239" s="8">
        <f>_xlfn.IFNA(VLOOKUP(Granger_Inventory[[#This Row],[condition]],Lookups!$H$17:$J$24,3,FALSE),0)</f>
        <v>33736</v>
      </c>
      <c r="BL239" s="8">
        <f>Granger_Inventory[[#This Row],[Age]]*Lookups!$B$16</f>
        <v>-13061.8593</v>
      </c>
      <c r="BM239" s="8">
        <f>Granger_Inventory[[#This Row],[living_area]]*Lookups!$B$17</f>
        <v>93912.980964000002</v>
      </c>
      <c r="BN239" s="8">
        <f>(Granger_Inventory[[#This Row],[att_gar]]+Granger_Inventory[[#This Row],[blt_gar]])*Lookups!$B$18</f>
        <v>0</v>
      </c>
      <c r="BO239" s="8">
        <f>Granger_Inventory[[#This Row],[Patio]]*Lookups!$B$19</f>
        <v>13035.623039999999</v>
      </c>
      <c r="BP239" s="8">
        <f>SUM(Granger_Inventory[[#This Row],[Intercept]:[Patio_Value]])*Granger_Inventory[[#This Row],[res_pct]]</f>
        <v>193894.30370400002</v>
      </c>
      <c r="BQ239" s="8">
        <f>Granger_Inventory[[#This Row],[land_value]]</f>
        <v>27689.858642911939</v>
      </c>
      <c r="BR239" s="4">
        <f>_xlfn.IFNA(VLOOKUP(Granger_Inventory[[#This Row],[quality]],Lookups!$A$25:$C$35,3,FALSE),1)</f>
        <v>0.99049976351917957</v>
      </c>
      <c r="BS239" s="4">
        <f>_xlfn.IFNA(VLOOKUP(Granger_Inventory[[#This Row],[condition]],Lookups!$A$38:$C$45,3,FALSE),1)</f>
        <v>0.92294678898076177</v>
      </c>
      <c r="BT239" s="4">
        <f>IF(Granger_Inventory[[#This Row],[decade]]="",1,_xlfn.IFNA(VLOOKUP(Granger_Inventory[[#This Row],[decade]],Lookups!$G$28:$I$42,3,FALSE),1))</f>
        <v>1.0270382440255921</v>
      </c>
      <c r="BU239" s="4">
        <f>_xlfn.IFNA(VLOOKUP(Granger_Inventory[[#This Row],[living_area_range]],Lookups!$A$48:$C$57,3,FALSE),1)</f>
        <v>0.97960506760539345</v>
      </c>
      <c r="BV239" s="4">
        <f>AVERAGE(Granger_Inventory[[#This Row],[qual_adj]:[living_range_adj]])</f>
        <v>0.98002246603273169</v>
      </c>
      <c r="BW239" s="8">
        <f>(Granger_Inventory[[#This Row],[sum_land]]-IF(Granger_Inventory[[#This Row],[no_utilities]]=1,12000,0))/IF(Granger_Inventory[[#This Row],[unbuildable]]=1,2,1)</f>
        <v>27689.858642911939</v>
      </c>
      <c r="BX239" s="8">
        <f>Granger_Inventory[[#This Row],[pre_res]]*Granger_Inventory[[#This Row],[overall_adj]]</f>
        <v>190020.77366569353</v>
      </c>
      <c r="BY239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39">
        <f>ROUND(Granger_Inventory[[#This Row],[detatched_value]]*Lookups!$I$45,-2)</f>
        <v>10700</v>
      </c>
      <c r="CA239">
        <f>IF(ROUND(Granger_Inventory[[#This Row],[adj_res]]*Lookups!$I$45,-2)&lt;Granger_Inventory[[#This Row],[min_res]],Granger_Inventory[[#This Row],[min_res]],ROUND(Granger_Inventory[[#This Row],[adj_res]]*Lookups!$I$45,-2))</f>
        <v>180500</v>
      </c>
      <c r="CB239">
        <f>Granger_Inventory[[#This Row],[final_det]]+Granger_Inventory[[#This Row],[final_res]]</f>
        <v>191200</v>
      </c>
      <c r="CC239">
        <f>Granger_Inventory[[#This Row],[final_land]]+Granger_Inventory[[#This Row],[final_imp]]+Granger_Inventory[[#This Row],[crop_value]]</f>
        <v>217500</v>
      </c>
      <c r="CE239" t="str">
        <f t="shared" si="3"/>
        <v>update valuation set market_land =26300, market_bldg=191200, market_total =217500, market_mdno =402, market_date ='9/10/2023' where link_id = (select link_id from parcel where parcel_year = '2024' and parcel_id = '21102111414');</v>
      </c>
    </row>
    <row r="240" spans="1:83" x14ac:dyDescent="0.25">
      <c r="A240">
        <v>21102111415</v>
      </c>
      <c r="B240">
        <v>0.19</v>
      </c>
      <c r="C240">
        <v>8109</v>
      </c>
      <c r="D240" t="s">
        <v>137</v>
      </c>
      <c r="E240" t="s">
        <v>54</v>
      </c>
      <c r="F240" t="s">
        <v>54</v>
      </c>
      <c r="G240">
        <v>3</v>
      </c>
      <c r="H240" t="s">
        <v>55</v>
      </c>
      <c r="I240">
        <v>200500</v>
      </c>
      <c r="J240">
        <v>27700</v>
      </c>
      <c r="K240">
        <v>0.19</v>
      </c>
      <c r="L24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40">
        <v>0</v>
      </c>
      <c r="N240">
        <v>0</v>
      </c>
      <c r="O240">
        <v>0</v>
      </c>
      <c r="P240">
        <v>47108.068500000001</v>
      </c>
      <c r="Q240">
        <v>122298</v>
      </c>
      <c r="R240">
        <f>(Granger_Inventory[[#This Row],[ln_acres]]*Granger_Inventory[[#This Row],[coeff]])+Granger_Inventory[[#This Row],[const]]</f>
        <v>44064.160548957996</v>
      </c>
      <c r="S240" t="s">
        <v>69</v>
      </c>
      <c r="T240">
        <v>1</v>
      </c>
      <c r="U240" t="s">
        <v>71</v>
      </c>
      <c r="V240" t="s">
        <v>72</v>
      </c>
      <c r="W240">
        <v>0</v>
      </c>
      <c r="X240">
        <v>0</v>
      </c>
      <c r="Y240">
        <v>55</v>
      </c>
      <c r="Z240">
        <v>98</v>
      </c>
      <c r="AA240">
        <v>100</v>
      </c>
      <c r="AB240">
        <v>1500</v>
      </c>
      <c r="AC240">
        <v>1422</v>
      </c>
      <c r="AD240">
        <v>1422</v>
      </c>
      <c r="AE240">
        <v>0</v>
      </c>
      <c r="AF240">
        <v>0</v>
      </c>
      <c r="AG240">
        <v>0</v>
      </c>
      <c r="AH240">
        <v>0</v>
      </c>
      <c r="AI240">
        <v>576</v>
      </c>
      <c r="AJ240">
        <v>0</v>
      </c>
      <c r="AK240">
        <v>0</v>
      </c>
      <c r="AL240">
        <v>295</v>
      </c>
      <c r="AM240">
        <v>207</v>
      </c>
      <c r="AN240">
        <v>42</v>
      </c>
      <c r="AO240">
        <v>295</v>
      </c>
      <c r="AP240">
        <v>5</v>
      </c>
      <c r="AQ240">
        <v>1</v>
      </c>
      <c r="AR240">
        <v>0</v>
      </c>
      <c r="AS240" t="s">
        <v>59</v>
      </c>
      <c r="AT240">
        <v>1</v>
      </c>
      <c r="AU240" t="s">
        <v>60</v>
      </c>
      <c r="AV240" t="s">
        <v>61</v>
      </c>
      <c r="AW240">
        <v>1</v>
      </c>
      <c r="AX240">
        <v>2</v>
      </c>
      <c r="AY240">
        <v>0</v>
      </c>
      <c r="AZ240">
        <v>0</v>
      </c>
      <c r="BA240">
        <v>100</v>
      </c>
      <c r="BB240">
        <v>100</v>
      </c>
      <c r="BC240">
        <v>100</v>
      </c>
      <c r="BD240">
        <v>100</v>
      </c>
      <c r="BE240">
        <v>1</v>
      </c>
      <c r="BF240">
        <v>15000</v>
      </c>
      <c r="BG240">
        <v>1000</v>
      </c>
      <c r="BH240" s="8">
        <f>Granger_Inventory[[#This Row],[land_extract]]*Lookups!$B$3</f>
        <v>26250.377615159185</v>
      </c>
      <c r="BI240" s="8">
        <f>IF(Granger_Inventory[[#This Row],[bldg_style]]="",0,Lookups!$B$2)</f>
        <v>29703.559000000001</v>
      </c>
      <c r="BJ240" s="8">
        <f>_xlfn.IFNA(VLOOKUP(Granger_Inventory[[#This Row],[quality]],Lookups!$H$2:$J$14,3,FALSE),0)</f>
        <v>34195</v>
      </c>
      <c r="BK240" s="8">
        <f>_xlfn.IFNA(VLOOKUP(Granger_Inventory[[#This Row],[condition]],Lookups!$H$17:$J$24,3,FALSE),0)</f>
        <v>94106</v>
      </c>
      <c r="BL240" s="8">
        <f>Granger_Inventory[[#This Row],[Age]]*Lookups!$B$16</f>
        <v>-20318.447799999998</v>
      </c>
      <c r="BM240" s="8">
        <f>Granger_Inventory[[#This Row],[living_area]]*Lookups!$B$17</f>
        <v>95662.076598</v>
      </c>
      <c r="BN240" s="8">
        <f>(Granger_Inventory[[#This Row],[att_gar]]+Granger_Inventory[[#This Row],[blt_gar]])*Lookups!$B$18</f>
        <v>27905.809536000001</v>
      </c>
      <c r="BO240" s="8">
        <f>Granger_Inventory[[#This Row],[Patio]]*Lookups!$B$19</f>
        <v>11243.224871999999</v>
      </c>
      <c r="BP240" s="8">
        <f>SUM(Granger_Inventory[[#This Row],[Intercept]:[Patio_Value]])*Granger_Inventory[[#This Row],[res_pct]]</f>
        <v>272497.22220600001</v>
      </c>
      <c r="BQ240" s="8">
        <f>Granger_Inventory[[#This Row],[land_value]]</f>
        <v>26250.377615159185</v>
      </c>
      <c r="BR240" s="4">
        <f>_xlfn.IFNA(VLOOKUP(Granger_Inventory[[#This Row],[quality]],Lookups!$A$25:$C$35,3,FALSE),1)</f>
        <v>0.98258795897788032</v>
      </c>
      <c r="BS240" s="4">
        <f>_xlfn.IFNA(VLOOKUP(Granger_Inventory[[#This Row],[condition]],Lookups!$A$38:$C$45,3,FALSE),1)</f>
        <v>0.98658583151544277</v>
      </c>
      <c r="BT240" s="4">
        <f>IF(Granger_Inventory[[#This Row],[decade]]="",1,_xlfn.IFNA(VLOOKUP(Granger_Inventory[[#This Row],[decade]],Lookups!$G$28:$I$42,3,FALSE),1))</f>
        <v>0.879441629375324</v>
      </c>
      <c r="BU240" s="4">
        <f>_xlfn.IFNA(VLOOKUP(Granger_Inventory[[#This Row],[living_area_range]],Lookups!$A$48:$C$57,3,FALSE),1)</f>
        <v>0.97960506760539345</v>
      </c>
      <c r="BV240" s="4">
        <f>AVERAGE(Granger_Inventory[[#This Row],[qual_adj]:[living_range_adj]])</f>
        <v>0.95705512186851016</v>
      </c>
      <c r="BW240" s="8">
        <f>(Granger_Inventory[[#This Row],[sum_land]]-IF(Granger_Inventory[[#This Row],[no_utilities]]=1,12000,0))/IF(Granger_Inventory[[#This Row],[unbuildable]]=1,2,1)</f>
        <v>26250.377615159185</v>
      </c>
      <c r="BX240" s="8">
        <f>Granger_Inventory[[#This Row],[pre_res]]*Granger_Inventory[[#This Row],[overall_adj]]</f>
        <v>260794.86220719383</v>
      </c>
      <c r="BY24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40">
        <f>ROUND(Granger_Inventory[[#This Row],[detatched_value]]*Lookups!$I$45,-2)</f>
        <v>0</v>
      </c>
      <c r="CA240">
        <f>IF(ROUND(Granger_Inventory[[#This Row],[adj_res]]*Lookups!$I$45,-2)&lt;Granger_Inventory[[#This Row],[min_res]],Granger_Inventory[[#This Row],[min_res]],ROUND(Granger_Inventory[[#This Row],[adj_res]]*Lookups!$I$45,-2))</f>
        <v>247800</v>
      </c>
      <c r="CB240">
        <f>Granger_Inventory[[#This Row],[final_det]]+Granger_Inventory[[#This Row],[final_res]]</f>
        <v>247800</v>
      </c>
      <c r="CC240">
        <f>Granger_Inventory[[#This Row],[final_land]]+Granger_Inventory[[#This Row],[final_imp]]+Granger_Inventory[[#This Row],[crop_value]]</f>
        <v>272700</v>
      </c>
      <c r="CE240" t="str">
        <f t="shared" si="3"/>
        <v>update valuation set market_land =24900, market_bldg=247800, market_total =272700, market_mdno =402, market_date ='9/10/2023' where link_id = (select link_id from parcel where parcel_year = '2024' and parcel_id = '21102111415');</v>
      </c>
    </row>
    <row r="241" spans="1:83" x14ac:dyDescent="0.25">
      <c r="A241">
        <v>21102111417</v>
      </c>
      <c r="B241">
        <v>0.3</v>
      </c>
      <c r="C241">
        <v>13072</v>
      </c>
      <c r="D241" t="s">
        <v>137</v>
      </c>
      <c r="E241" t="s">
        <v>54</v>
      </c>
      <c r="F241" t="s">
        <v>54</v>
      </c>
      <c r="G241">
        <v>3</v>
      </c>
      <c r="H241" t="s">
        <v>55</v>
      </c>
      <c r="I241">
        <v>112600</v>
      </c>
      <c r="J241">
        <v>30400</v>
      </c>
      <c r="K241">
        <v>0.3</v>
      </c>
      <c r="L241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241">
        <v>0</v>
      </c>
      <c r="N241">
        <v>0</v>
      </c>
      <c r="O241">
        <v>0</v>
      </c>
      <c r="P241">
        <v>47108.068500000001</v>
      </c>
      <c r="Q241">
        <v>122298</v>
      </c>
      <c r="R241">
        <f>(Granger_Inventory[[#This Row],[ln_acres]]*Granger_Inventory[[#This Row],[coeff]])+Granger_Inventory[[#This Row],[const]]</f>
        <v>65581.166661676703</v>
      </c>
      <c r="S241" t="s">
        <v>69</v>
      </c>
      <c r="T241">
        <v>1</v>
      </c>
      <c r="U241" t="s">
        <v>71</v>
      </c>
      <c r="V241" t="s">
        <v>77</v>
      </c>
      <c r="W241">
        <v>0</v>
      </c>
      <c r="X241">
        <v>0</v>
      </c>
      <c r="Y241">
        <v>53</v>
      </c>
      <c r="Z241">
        <v>92</v>
      </c>
      <c r="AA241">
        <v>100</v>
      </c>
      <c r="AB241">
        <v>1500</v>
      </c>
      <c r="AC241">
        <v>1328</v>
      </c>
      <c r="AD241">
        <v>1328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550</v>
      </c>
      <c r="AN241">
        <v>35</v>
      </c>
      <c r="AO241">
        <v>0</v>
      </c>
      <c r="AP241">
        <v>5</v>
      </c>
      <c r="AQ241">
        <v>1</v>
      </c>
      <c r="AR241">
        <v>0</v>
      </c>
      <c r="AS241" t="s">
        <v>59</v>
      </c>
      <c r="AT241">
        <v>1</v>
      </c>
      <c r="AU241" t="s">
        <v>60</v>
      </c>
      <c r="AV241" t="s">
        <v>61</v>
      </c>
      <c r="AW241">
        <v>0</v>
      </c>
      <c r="AX241">
        <v>2</v>
      </c>
      <c r="AY241">
        <v>0</v>
      </c>
      <c r="AZ241">
        <v>8800</v>
      </c>
      <c r="BA241">
        <v>100</v>
      </c>
      <c r="BB241">
        <v>100</v>
      </c>
      <c r="BC241">
        <v>100</v>
      </c>
      <c r="BD241">
        <v>100</v>
      </c>
      <c r="BE241">
        <v>1</v>
      </c>
      <c r="BF241">
        <v>15000</v>
      </c>
      <c r="BG241">
        <v>1000</v>
      </c>
      <c r="BH241" s="8">
        <f>Granger_Inventory[[#This Row],[land_extract]]*Lookups!$B$3</f>
        <v>39068.720880293993</v>
      </c>
      <c r="BI241" s="8">
        <f>IF(Granger_Inventory[[#This Row],[bldg_style]]="",0,Lookups!$B$2)</f>
        <v>29703.559000000001</v>
      </c>
      <c r="BJ241" s="8">
        <f>_xlfn.IFNA(VLOOKUP(Granger_Inventory[[#This Row],[quality]],Lookups!$H$2:$J$14,3,FALSE),0)</f>
        <v>34195</v>
      </c>
      <c r="BK241" s="8">
        <f>_xlfn.IFNA(VLOOKUP(Granger_Inventory[[#This Row],[condition]],Lookups!$H$17:$J$24,3,FALSE),0)</f>
        <v>33736</v>
      </c>
      <c r="BL241" s="8">
        <f>Granger_Inventory[[#This Row],[Age]]*Lookups!$B$16</f>
        <v>-19074.461199999998</v>
      </c>
      <c r="BM241" s="8">
        <f>Granger_Inventory[[#This Row],[living_area]]*Lookups!$B$17</f>
        <v>89338.423152000003</v>
      </c>
      <c r="BN241" s="8">
        <f>(Granger_Inventory[[#This Row],[att_gar]]+Granger_Inventory[[#This Row],[blt_gar]])*Lookups!$B$18</f>
        <v>0</v>
      </c>
      <c r="BO241" s="8">
        <f>Granger_Inventory[[#This Row],[Patio]]*Lookups!$B$19</f>
        <v>29873.302799999998</v>
      </c>
      <c r="BP241" s="8">
        <f>SUM(Granger_Inventory[[#This Row],[Intercept]:[Patio_Value]])*Granger_Inventory[[#This Row],[res_pct]]</f>
        <v>197771.82375200003</v>
      </c>
      <c r="BQ241" s="8">
        <f>Granger_Inventory[[#This Row],[land_value]]</f>
        <v>39068.720880293993</v>
      </c>
      <c r="BR241" s="4">
        <f>_xlfn.IFNA(VLOOKUP(Granger_Inventory[[#This Row],[quality]],Lookups!$A$25:$C$35,3,FALSE),1)</f>
        <v>0.98258795897788032</v>
      </c>
      <c r="BS241" s="4">
        <f>_xlfn.IFNA(VLOOKUP(Granger_Inventory[[#This Row],[condition]],Lookups!$A$38:$C$45,3,FALSE),1)</f>
        <v>0.92294678898076177</v>
      </c>
      <c r="BT241" s="4">
        <f>IF(Granger_Inventory[[#This Row],[decade]]="",1,_xlfn.IFNA(VLOOKUP(Granger_Inventory[[#This Row],[decade]],Lookups!$G$28:$I$42,3,FALSE),1))</f>
        <v>0.879441629375324</v>
      </c>
      <c r="BU241" s="4">
        <f>_xlfn.IFNA(VLOOKUP(Granger_Inventory[[#This Row],[living_area_range]],Lookups!$A$48:$C$57,3,FALSE),1)</f>
        <v>0.97960506760539345</v>
      </c>
      <c r="BV241" s="4">
        <f>AVERAGE(Granger_Inventory[[#This Row],[qual_adj]:[living_range_adj]])</f>
        <v>0.94114536123483994</v>
      </c>
      <c r="BW241" s="8">
        <f>(Granger_Inventory[[#This Row],[sum_land]]-IF(Granger_Inventory[[#This Row],[no_utilities]]=1,12000,0))/IF(Granger_Inventory[[#This Row],[unbuildable]]=1,2,1)</f>
        <v>39068.720880293993</v>
      </c>
      <c r="BX241" s="8">
        <f>Granger_Inventory[[#This Row],[pre_res]]*Granger_Inventory[[#This Row],[overall_adj]]</f>
        <v>186132.03450714916</v>
      </c>
      <c r="BY241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241">
        <f>ROUND(Granger_Inventory[[#This Row],[detatched_value]]*Lookups!$I$45,-2)</f>
        <v>8400</v>
      </c>
      <c r="CA241">
        <f>IF(ROUND(Granger_Inventory[[#This Row],[adj_res]]*Lookups!$I$45,-2)&lt;Granger_Inventory[[#This Row],[min_res]],Granger_Inventory[[#This Row],[min_res]],ROUND(Granger_Inventory[[#This Row],[adj_res]]*Lookups!$I$45,-2))</f>
        <v>176800</v>
      </c>
      <c r="CB241">
        <f>Granger_Inventory[[#This Row],[final_det]]+Granger_Inventory[[#This Row],[final_res]]</f>
        <v>185200</v>
      </c>
      <c r="CC241">
        <f>Granger_Inventory[[#This Row],[final_land]]+Granger_Inventory[[#This Row],[final_imp]]+Granger_Inventory[[#This Row],[crop_value]]</f>
        <v>222300</v>
      </c>
      <c r="CE241" t="str">
        <f t="shared" si="3"/>
        <v>update valuation set market_land =37100, market_bldg=185200, market_total =222300, market_mdno =402, market_date ='9/10/2023' where link_id = (select link_id from parcel where parcel_year = '2024' and parcel_id = '21102111417');</v>
      </c>
    </row>
    <row r="242" spans="1:83" x14ac:dyDescent="0.25">
      <c r="A242">
        <v>21102111418</v>
      </c>
      <c r="B242">
        <v>0.22</v>
      </c>
      <c r="C242">
        <v>9554</v>
      </c>
      <c r="D242" t="s">
        <v>137</v>
      </c>
      <c r="E242" t="s">
        <v>54</v>
      </c>
      <c r="F242" t="s">
        <v>54</v>
      </c>
      <c r="G242">
        <v>3</v>
      </c>
      <c r="H242" t="s">
        <v>55</v>
      </c>
      <c r="I242">
        <v>83700</v>
      </c>
      <c r="J242">
        <v>28600</v>
      </c>
      <c r="K242">
        <v>0.22</v>
      </c>
      <c r="L242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242">
        <v>0</v>
      </c>
      <c r="N242">
        <v>0</v>
      </c>
      <c r="O242">
        <v>0</v>
      </c>
      <c r="P242">
        <v>47108.068500000001</v>
      </c>
      <c r="Q242">
        <v>122298</v>
      </c>
      <c r="R242">
        <f>(Granger_Inventory[[#This Row],[ln_acres]]*Granger_Inventory[[#This Row],[coeff]])+Granger_Inventory[[#This Row],[const]]</f>
        <v>50970.367053526847</v>
      </c>
      <c r="S242" t="s">
        <v>69</v>
      </c>
      <c r="T242">
        <v>1</v>
      </c>
      <c r="U242" t="s">
        <v>78</v>
      </c>
      <c r="V242" t="s">
        <v>77</v>
      </c>
      <c r="W242">
        <v>0</v>
      </c>
      <c r="X242">
        <v>0</v>
      </c>
      <c r="Y242">
        <v>53</v>
      </c>
      <c r="Z242">
        <v>90</v>
      </c>
      <c r="AA242">
        <v>90</v>
      </c>
      <c r="AB242">
        <v>1000</v>
      </c>
      <c r="AC242">
        <v>982</v>
      </c>
      <c r="AD242">
        <v>982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5</v>
      </c>
      <c r="AQ242">
        <v>0</v>
      </c>
      <c r="AR242">
        <v>0</v>
      </c>
      <c r="AS242" t="s">
        <v>59</v>
      </c>
      <c r="AT242">
        <v>1</v>
      </c>
      <c r="AU242" t="s">
        <v>60</v>
      </c>
      <c r="AV242" t="s">
        <v>61</v>
      </c>
      <c r="AW242">
        <v>0</v>
      </c>
      <c r="AX242">
        <v>2</v>
      </c>
      <c r="AY242">
        <v>0</v>
      </c>
      <c r="AZ242">
        <v>24400</v>
      </c>
      <c r="BA242">
        <v>100</v>
      </c>
      <c r="BB242">
        <v>100</v>
      </c>
      <c r="BC242">
        <v>100</v>
      </c>
      <c r="BD242">
        <v>100</v>
      </c>
      <c r="BE242">
        <v>1</v>
      </c>
      <c r="BF242">
        <v>15000</v>
      </c>
      <c r="BG242">
        <v>1000</v>
      </c>
      <c r="BH242" s="8">
        <f>Granger_Inventory[[#This Row],[land_extract]]*Lookups!$B$3</f>
        <v>30364.617541091193</v>
      </c>
      <c r="BI242" s="8">
        <f>IF(Granger_Inventory[[#This Row],[bldg_style]]="",0,Lookups!$B$2)</f>
        <v>29703.559000000001</v>
      </c>
      <c r="BJ242" s="8">
        <f>_xlfn.IFNA(VLOOKUP(Granger_Inventory[[#This Row],[quality]],Lookups!$H$2:$J$14,3,FALSE),0)</f>
        <v>23737.786340274597</v>
      </c>
      <c r="BK242" s="8">
        <f>_xlfn.IFNA(VLOOKUP(Granger_Inventory[[#This Row],[condition]],Lookups!$H$17:$J$24,3,FALSE),0)</f>
        <v>33736</v>
      </c>
      <c r="BL242" s="8">
        <f>Granger_Inventory[[#This Row],[Age]]*Lookups!$B$16</f>
        <v>-18659.798999999999</v>
      </c>
      <c r="BM242" s="8">
        <f>Granger_Inventory[[#This Row],[living_area]]*Lookups!$B$17</f>
        <v>66061.996637999997</v>
      </c>
      <c r="BN242" s="8">
        <f>(Granger_Inventory[[#This Row],[att_gar]]+Granger_Inventory[[#This Row],[blt_gar]])*Lookups!$B$18</f>
        <v>0</v>
      </c>
      <c r="BO242" s="8">
        <f>Granger_Inventory[[#This Row],[Patio]]*Lookups!$B$19</f>
        <v>0</v>
      </c>
      <c r="BP242" s="8">
        <f>SUM(Granger_Inventory[[#This Row],[Intercept]:[Patio_Value]])*Granger_Inventory[[#This Row],[res_pct]]</f>
        <v>134579.54297827458</v>
      </c>
      <c r="BQ242" s="8">
        <f>Granger_Inventory[[#This Row],[land_value]]</f>
        <v>30364.617541091193</v>
      </c>
      <c r="BR242" s="4">
        <f>_xlfn.IFNA(VLOOKUP(Granger_Inventory[[#This Row],[quality]],Lookups!$A$25:$C$35,3,FALSE),1)</f>
        <v>0.77695375541795109</v>
      </c>
      <c r="BS242" s="4">
        <f>_xlfn.IFNA(VLOOKUP(Granger_Inventory[[#This Row],[condition]],Lookups!$A$38:$C$45,3,FALSE),1)</f>
        <v>0.92294678898076177</v>
      </c>
      <c r="BT242" s="4">
        <f>IF(Granger_Inventory[[#This Row],[decade]]="",1,_xlfn.IFNA(VLOOKUP(Granger_Inventory[[#This Row],[decade]],Lookups!$G$28:$I$42,3,FALSE),1))</f>
        <v>0.95234610137492615</v>
      </c>
      <c r="BU242" s="4">
        <f>_xlfn.IFNA(VLOOKUP(Granger_Inventory[[#This Row],[living_area_range]],Lookups!$A$48:$C$57,3,FALSE),1)</f>
        <v>0.81272404900450645</v>
      </c>
      <c r="BV242" s="4">
        <f>AVERAGE(Granger_Inventory[[#This Row],[qual_adj]:[living_range_adj]])</f>
        <v>0.86624267369453634</v>
      </c>
      <c r="BW242" s="8">
        <f>(Granger_Inventory[[#This Row],[sum_land]]-IF(Granger_Inventory[[#This Row],[no_utilities]]=1,12000,0))/IF(Granger_Inventory[[#This Row],[unbuildable]]=1,2,1)</f>
        <v>30364.617541091193</v>
      </c>
      <c r="BX242" s="8">
        <f>Granger_Inventory[[#This Row],[pre_res]]*Granger_Inventory[[#This Row],[overall_adj]]</f>
        <v>116578.54313408934</v>
      </c>
      <c r="BY242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242">
        <f>ROUND(Granger_Inventory[[#This Row],[detatched_value]]*Lookups!$I$45,-2)</f>
        <v>23200</v>
      </c>
      <c r="CA242">
        <f>IF(ROUND(Granger_Inventory[[#This Row],[adj_res]]*Lookups!$I$45,-2)&lt;Granger_Inventory[[#This Row],[min_res]],Granger_Inventory[[#This Row],[min_res]],ROUND(Granger_Inventory[[#This Row],[adj_res]]*Lookups!$I$45,-2))</f>
        <v>110700</v>
      </c>
      <c r="CB242">
        <f>Granger_Inventory[[#This Row],[final_det]]+Granger_Inventory[[#This Row],[final_res]]</f>
        <v>133900</v>
      </c>
      <c r="CC242">
        <f>Granger_Inventory[[#This Row],[final_land]]+Granger_Inventory[[#This Row],[final_imp]]+Granger_Inventory[[#This Row],[crop_value]]</f>
        <v>162700</v>
      </c>
      <c r="CE242" t="str">
        <f t="shared" si="3"/>
        <v>update valuation set market_land =28800, market_bldg=133900, market_total =162700, market_mdno =402, market_date ='9/10/2023' where link_id = (select link_id from parcel where parcel_year = '2024' and parcel_id = '21102111418');</v>
      </c>
    </row>
    <row r="243" spans="1:83" x14ac:dyDescent="0.25">
      <c r="A243">
        <v>21102111419</v>
      </c>
      <c r="B243">
        <v>0.22</v>
      </c>
      <c r="C243">
        <v>9692</v>
      </c>
      <c r="D243" t="s">
        <v>137</v>
      </c>
      <c r="E243" t="s">
        <v>54</v>
      </c>
      <c r="F243" t="s">
        <v>54</v>
      </c>
      <c r="G243">
        <v>3</v>
      </c>
      <c r="H243" t="s">
        <v>55</v>
      </c>
      <c r="I243">
        <v>157200</v>
      </c>
      <c r="J243">
        <v>28600</v>
      </c>
      <c r="K243">
        <v>0.22</v>
      </c>
      <c r="L243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243">
        <v>0</v>
      </c>
      <c r="N243">
        <v>0</v>
      </c>
      <c r="O243">
        <v>0</v>
      </c>
      <c r="P243">
        <v>47108.068500000001</v>
      </c>
      <c r="Q243">
        <v>122298</v>
      </c>
      <c r="R243">
        <f>(Granger_Inventory[[#This Row],[ln_acres]]*Granger_Inventory[[#This Row],[coeff]])+Granger_Inventory[[#This Row],[const]]</f>
        <v>50970.367053526847</v>
      </c>
      <c r="S243" t="s">
        <v>69</v>
      </c>
      <c r="T243">
        <v>1</v>
      </c>
      <c r="U243" t="s">
        <v>64</v>
      </c>
      <c r="V243" t="s">
        <v>77</v>
      </c>
      <c r="W243">
        <v>0</v>
      </c>
      <c r="X243">
        <v>0</v>
      </c>
      <c r="Y243">
        <v>49</v>
      </c>
      <c r="Z243">
        <v>68</v>
      </c>
      <c r="AA243">
        <v>70</v>
      </c>
      <c r="AB243">
        <v>1500</v>
      </c>
      <c r="AC243">
        <v>1312</v>
      </c>
      <c r="AD243">
        <v>1312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280</v>
      </c>
      <c r="AL243">
        <v>0</v>
      </c>
      <c r="AM243">
        <v>120</v>
      </c>
      <c r="AN243">
        <v>0</v>
      </c>
      <c r="AO243">
        <v>120</v>
      </c>
      <c r="AP243">
        <v>5</v>
      </c>
      <c r="AQ243">
        <v>0</v>
      </c>
      <c r="AR243">
        <v>0</v>
      </c>
      <c r="AS243" t="s">
        <v>59</v>
      </c>
      <c r="AT243">
        <v>1</v>
      </c>
      <c r="AU243" t="s">
        <v>60</v>
      </c>
      <c r="AV243" t="s">
        <v>65</v>
      </c>
      <c r="AW243">
        <v>0</v>
      </c>
      <c r="AX243">
        <v>3</v>
      </c>
      <c r="AY243">
        <v>0</v>
      </c>
      <c r="AZ243">
        <v>20600</v>
      </c>
      <c r="BA243">
        <v>100</v>
      </c>
      <c r="BB243">
        <v>100</v>
      </c>
      <c r="BC243">
        <v>100</v>
      </c>
      <c r="BD243">
        <v>100</v>
      </c>
      <c r="BE243">
        <v>1</v>
      </c>
      <c r="BF243">
        <v>15000</v>
      </c>
      <c r="BG243">
        <v>1000</v>
      </c>
      <c r="BH243" s="8">
        <f>Granger_Inventory[[#This Row],[land_extract]]*Lookups!$B$3</f>
        <v>30364.617541091193</v>
      </c>
      <c r="BI243" s="8">
        <f>IF(Granger_Inventory[[#This Row],[bldg_style]]="",0,Lookups!$B$2)</f>
        <v>29703.559000000001</v>
      </c>
      <c r="BJ243" s="8">
        <f>_xlfn.IFNA(VLOOKUP(Granger_Inventory[[#This Row],[quality]],Lookups!$H$2:$J$14,3,FALSE),0)</f>
        <v>36568</v>
      </c>
      <c r="BK243" s="8">
        <f>_xlfn.IFNA(VLOOKUP(Granger_Inventory[[#This Row],[condition]],Lookups!$H$17:$J$24,3,FALSE),0)</f>
        <v>33736</v>
      </c>
      <c r="BL243" s="8">
        <f>Granger_Inventory[[#This Row],[Age]]*Lookups!$B$16</f>
        <v>-14098.514799999999</v>
      </c>
      <c r="BM243" s="8">
        <f>Granger_Inventory[[#This Row],[living_area]]*Lookups!$B$17</f>
        <v>88262.056607999999</v>
      </c>
      <c r="BN243" s="8">
        <f>(Granger_Inventory[[#This Row],[att_gar]]+Granger_Inventory[[#This Row],[blt_gar]])*Lookups!$B$18</f>
        <v>0</v>
      </c>
      <c r="BO243" s="8">
        <f>Granger_Inventory[[#This Row],[Patio]]*Lookups!$B$19</f>
        <v>6517.8115199999993</v>
      </c>
      <c r="BP243" s="8">
        <f>SUM(Granger_Inventory[[#This Row],[Intercept]:[Patio_Value]])*Granger_Inventory[[#This Row],[res_pct]]</f>
        <v>180688.91232800001</v>
      </c>
      <c r="BQ243" s="8">
        <f>Granger_Inventory[[#This Row],[land_value]]</f>
        <v>30364.617541091193</v>
      </c>
      <c r="BR243" s="4">
        <f>_xlfn.IFNA(VLOOKUP(Granger_Inventory[[#This Row],[quality]],Lookups!$A$25:$C$35,3,FALSE),1)</f>
        <v>0.99049976351917957</v>
      </c>
      <c r="BS243" s="4">
        <f>_xlfn.IFNA(VLOOKUP(Granger_Inventory[[#This Row],[condition]],Lookups!$A$38:$C$45,3,FALSE),1)</f>
        <v>0.92294678898076177</v>
      </c>
      <c r="BT243" s="4">
        <f>IF(Granger_Inventory[[#This Row],[decade]]="",1,_xlfn.IFNA(VLOOKUP(Granger_Inventory[[#This Row],[decade]],Lookups!$G$28:$I$42,3,FALSE),1))</f>
        <v>1.0270382440255921</v>
      </c>
      <c r="BU243" s="4">
        <f>_xlfn.IFNA(VLOOKUP(Granger_Inventory[[#This Row],[living_area_range]],Lookups!$A$48:$C$57,3,FALSE),1)</f>
        <v>0.97960506760539345</v>
      </c>
      <c r="BV243" s="4">
        <f>AVERAGE(Granger_Inventory[[#This Row],[qual_adj]:[living_range_adj]])</f>
        <v>0.98002246603273169</v>
      </c>
      <c r="BW243" s="8">
        <f>(Granger_Inventory[[#This Row],[sum_land]]-IF(Granger_Inventory[[#This Row],[no_utilities]]=1,12000,0))/IF(Granger_Inventory[[#This Row],[unbuildable]]=1,2,1)</f>
        <v>30364.617541091193</v>
      </c>
      <c r="BX243" s="8">
        <f>Granger_Inventory[[#This Row],[pre_res]]*Granger_Inventory[[#This Row],[overall_adj]]</f>
        <v>177079.19344445862</v>
      </c>
      <c r="BY243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243">
        <f>ROUND(Granger_Inventory[[#This Row],[detatched_value]]*Lookups!$I$45,-2)</f>
        <v>19600</v>
      </c>
      <c r="CA243">
        <f>IF(ROUND(Granger_Inventory[[#This Row],[adj_res]]*Lookups!$I$45,-2)&lt;Granger_Inventory[[#This Row],[min_res]],Granger_Inventory[[#This Row],[min_res]],ROUND(Granger_Inventory[[#This Row],[adj_res]]*Lookups!$I$45,-2))</f>
        <v>168200</v>
      </c>
      <c r="CB243">
        <f>Granger_Inventory[[#This Row],[final_det]]+Granger_Inventory[[#This Row],[final_res]]</f>
        <v>187800</v>
      </c>
      <c r="CC243">
        <f>Granger_Inventory[[#This Row],[final_land]]+Granger_Inventory[[#This Row],[final_imp]]+Granger_Inventory[[#This Row],[crop_value]]</f>
        <v>216600</v>
      </c>
      <c r="CE243" t="str">
        <f t="shared" si="3"/>
        <v>update valuation set market_land =28800, market_bldg=187800, market_total =216600, market_mdno =402, market_date ='9/10/2023' where link_id = (select link_id from parcel where parcel_year = '2024' and parcel_id = '21102111419');</v>
      </c>
    </row>
    <row r="244" spans="1:83" x14ac:dyDescent="0.25">
      <c r="A244">
        <v>21102111420</v>
      </c>
      <c r="B244">
        <v>0.15</v>
      </c>
      <c r="C244">
        <v>6677</v>
      </c>
      <c r="D244" t="s">
        <v>137</v>
      </c>
      <c r="E244" t="s">
        <v>54</v>
      </c>
      <c r="F244" t="s">
        <v>54</v>
      </c>
      <c r="G244">
        <v>3</v>
      </c>
      <c r="H244" t="s">
        <v>55</v>
      </c>
      <c r="I244">
        <v>194000</v>
      </c>
      <c r="J244">
        <v>26300</v>
      </c>
      <c r="K244">
        <v>0.15</v>
      </c>
      <c r="L24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44">
        <v>0</v>
      </c>
      <c r="N244">
        <v>0</v>
      </c>
      <c r="O244">
        <v>0</v>
      </c>
      <c r="P244">
        <v>47108.068500000001</v>
      </c>
      <c r="Q244">
        <v>122298</v>
      </c>
      <c r="R244">
        <f>(Granger_Inventory[[#This Row],[ln_acres]]*Granger_Inventory[[#This Row],[coeff]])+Granger_Inventory[[#This Row],[const]]</f>
        <v>32928.341799276939</v>
      </c>
      <c r="S244" t="s">
        <v>69</v>
      </c>
      <c r="T244">
        <v>1</v>
      </c>
      <c r="U244" t="s">
        <v>71</v>
      </c>
      <c r="V244" t="s">
        <v>77</v>
      </c>
      <c r="W244">
        <v>0</v>
      </c>
      <c r="X244">
        <v>0</v>
      </c>
      <c r="Y244">
        <v>51</v>
      </c>
      <c r="Z244">
        <v>78</v>
      </c>
      <c r="AA244">
        <v>80</v>
      </c>
      <c r="AB244">
        <v>2500</v>
      </c>
      <c r="AC244">
        <v>2192</v>
      </c>
      <c r="AD244">
        <v>1096</v>
      </c>
      <c r="AE244">
        <v>0</v>
      </c>
      <c r="AF244">
        <v>0</v>
      </c>
      <c r="AG244">
        <v>1096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7</v>
      </c>
      <c r="AQ244">
        <v>0</v>
      </c>
      <c r="AR244">
        <v>1</v>
      </c>
      <c r="AS244" t="s">
        <v>59</v>
      </c>
      <c r="AT244">
        <v>1</v>
      </c>
      <c r="AU244" t="s">
        <v>60</v>
      </c>
      <c r="AV244" t="s">
        <v>61</v>
      </c>
      <c r="AW244">
        <v>0</v>
      </c>
      <c r="AX244">
        <v>2</v>
      </c>
      <c r="AY244">
        <v>0</v>
      </c>
      <c r="AZ244">
        <v>25700</v>
      </c>
      <c r="BA244">
        <v>100</v>
      </c>
      <c r="BB244">
        <v>100</v>
      </c>
      <c r="BC244">
        <v>100</v>
      </c>
      <c r="BD244">
        <v>100</v>
      </c>
      <c r="BE244">
        <v>1</v>
      </c>
      <c r="BF244">
        <v>15000</v>
      </c>
      <c r="BG244">
        <v>1000</v>
      </c>
      <c r="BH244" s="8">
        <f>Granger_Inventory[[#This Row],[land_extract]]*Lookups!$B$3</f>
        <v>19616.42740275669</v>
      </c>
      <c r="BI244" s="8">
        <f>IF(Granger_Inventory[[#This Row],[bldg_style]]="",0,Lookups!$B$2)</f>
        <v>29703.559000000001</v>
      </c>
      <c r="BJ244" s="8">
        <f>_xlfn.IFNA(VLOOKUP(Granger_Inventory[[#This Row],[quality]],Lookups!$H$2:$J$14,3,FALSE),0)</f>
        <v>34195</v>
      </c>
      <c r="BK244" s="8">
        <f>_xlfn.IFNA(VLOOKUP(Granger_Inventory[[#This Row],[condition]],Lookups!$H$17:$J$24,3,FALSE),0)</f>
        <v>33736</v>
      </c>
      <c r="BL244" s="8">
        <f>Granger_Inventory[[#This Row],[Age]]*Lookups!$B$16</f>
        <v>-16171.825799999999</v>
      </c>
      <c r="BM244" s="8">
        <f>Granger_Inventory[[#This Row],[living_area]]*Lookups!$B$17</f>
        <v>147462.21652799999</v>
      </c>
      <c r="BN244" s="8">
        <f>(Granger_Inventory[[#This Row],[att_gar]]+Granger_Inventory[[#This Row],[blt_gar]])*Lookups!$B$18</f>
        <v>0</v>
      </c>
      <c r="BO244" s="8">
        <f>Granger_Inventory[[#This Row],[Patio]]*Lookups!$B$19</f>
        <v>0</v>
      </c>
      <c r="BP244" s="8">
        <f>SUM(Granger_Inventory[[#This Row],[Intercept]:[Patio_Value]])*Granger_Inventory[[#This Row],[res_pct]]</f>
        <v>228924.94972800001</v>
      </c>
      <c r="BQ244" s="8">
        <f>Granger_Inventory[[#This Row],[land_value]]</f>
        <v>19616.42740275669</v>
      </c>
      <c r="BR244" s="4">
        <f>_xlfn.IFNA(VLOOKUP(Granger_Inventory[[#This Row],[quality]],Lookups!$A$25:$C$35,3,FALSE),1)</f>
        <v>0.98258795897788032</v>
      </c>
      <c r="BS244" s="4">
        <f>_xlfn.IFNA(VLOOKUP(Granger_Inventory[[#This Row],[condition]],Lookups!$A$38:$C$45,3,FALSE),1)</f>
        <v>0.92294678898076177</v>
      </c>
      <c r="BT244" s="4">
        <f>IF(Granger_Inventory[[#This Row],[decade]]="",1,_xlfn.IFNA(VLOOKUP(Granger_Inventory[[#This Row],[decade]],Lookups!$G$28:$I$42,3,FALSE),1))</f>
        <v>0.76006056002554967</v>
      </c>
      <c r="BU244" s="4">
        <f>_xlfn.IFNA(VLOOKUP(Granger_Inventory[[#This Row],[living_area_range]],Lookups!$A$48:$C$57,3,FALSE),1)</f>
        <v>1.0000039906678986</v>
      </c>
      <c r="BV244" s="4">
        <f>AVERAGE(Granger_Inventory[[#This Row],[qual_adj]:[living_range_adj]])</f>
        <v>0.9163998246630225</v>
      </c>
      <c r="BW244" s="8">
        <f>(Granger_Inventory[[#This Row],[sum_land]]-IF(Granger_Inventory[[#This Row],[no_utilities]]=1,12000,0))/IF(Granger_Inventory[[#This Row],[unbuildable]]=1,2,1)</f>
        <v>19616.42740275669</v>
      </c>
      <c r="BX244" s="8">
        <f>Granger_Inventory[[#This Row],[pre_res]]*Granger_Inventory[[#This Row],[overall_adj]]</f>
        <v>209786.78379173044</v>
      </c>
      <c r="BY24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44">
        <f>ROUND(Granger_Inventory[[#This Row],[detatched_value]]*Lookups!$I$45,-2)</f>
        <v>24400</v>
      </c>
      <c r="CA244">
        <f>IF(ROUND(Granger_Inventory[[#This Row],[adj_res]]*Lookups!$I$45,-2)&lt;Granger_Inventory[[#This Row],[min_res]],Granger_Inventory[[#This Row],[min_res]],ROUND(Granger_Inventory[[#This Row],[adj_res]]*Lookups!$I$45,-2))</f>
        <v>199300</v>
      </c>
      <c r="CB244">
        <f>Granger_Inventory[[#This Row],[final_det]]+Granger_Inventory[[#This Row],[final_res]]</f>
        <v>223700</v>
      </c>
      <c r="CC244">
        <f>Granger_Inventory[[#This Row],[final_land]]+Granger_Inventory[[#This Row],[final_imp]]+Granger_Inventory[[#This Row],[crop_value]]</f>
        <v>242300</v>
      </c>
      <c r="CE244" t="str">
        <f t="shared" si="3"/>
        <v>update valuation set market_land =18600, market_bldg=223700, market_total =242300, market_mdno =402, market_date ='9/10/2023' where link_id = (select link_id from parcel where parcel_year = '2024' and parcel_id = '21102111420');</v>
      </c>
    </row>
    <row r="245" spans="1:83" x14ac:dyDescent="0.25">
      <c r="A245">
        <v>21102111423</v>
      </c>
      <c r="B245">
        <v>0.2</v>
      </c>
      <c r="C245">
        <v>8603</v>
      </c>
      <c r="D245" t="s">
        <v>137</v>
      </c>
      <c r="E245" t="s">
        <v>54</v>
      </c>
      <c r="F245" t="s">
        <v>54</v>
      </c>
      <c r="G245">
        <v>3</v>
      </c>
      <c r="H245" t="s">
        <v>55</v>
      </c>
      <c r="I245">
        <v>57000</v>
      </c>
      <c r="J245">
        <v>28000</v>
      </c>
      <c r="K245">
        <v>0.2</v>
      </c>
      <c r="L245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45">
        <v>0</v>
      </c>
      <c r="N245">
        <v>0</v>
      </c>
      <c r="O245">
        <v>0</v>
      </c>
      <c r="P245">
        <v>47108.068500000001</v>
      </c>
      <c r="Q245">
        <v>122298</v>
      </c>
      <c r="R245">
        <f>(Granger_Inventory[[#This Row],[ln_acres]]*Granger_Inventory[[#This Row],[coeff]])+Granger_Inventory[[#This Row],[const]]</f>
        <v>46480.488574557399</v>
      </c>
      <c r="S245" t="s">
        <v>69</v>
      </c>
      <c r="T245">
        <v>1</v>
      </c>
      <c r="U245" t="s">
        <v>71</v>
      </c>
      <c r="V245" t="s">
        <v>77</v>
      </c>
      <c r="W245">
        <v>0</v>
      </c>
      <c r="X245">
        <v>0</v>
      </c>
      <c r="Y245">
        <v>54</v>
      </c>
      <c r="Z245">
        <v>95</v>
      </c>
      <c r="AA245">
        <v>100</v>
      </c>
      <c r="AB245">
        <v>1000</v>
      </c>
      <c r="AC245">
        <v>660</v>
      </c>
      <c r="AD245">
        <v>660</v>
      </c>
      <c r="AE245">
        <v>0</v>
      </c>
      <c r="AF245">
        <v>0</v>
      </c>
      <c r="AG245">
        <v>0</v>
      </c>
      <c r="AH245">
        <v>200</v>
      </c>
      <c r="AI245">
        <v>0</v>
      </c>
      <c r="AJ245">
        <v>0</v>
      </c>
      <c r="AK245">
        <v>0</v>
      </c>
      <c r="AL245">
        <v>160</v>
      </c>
      <c r="AM245">
        <v>0</v>
      </c>
      <c r="AN245">
        <v>160</v>
      </c>
      <c r="AO245">
        <v>0</v>
      </c>
      <c r="AP245">
        <v>5</v>
      </c>
      <c r="AQ245">
        <v>0</v>
      </c>
      <c r="AR245">
        <v>0</v>
      </c>
      <c r="AS245" t="s">
        <v>59</v>
      </c>
      <c r="AT245">
        <v>1</v>
      </c>
      <c r="AU245" t="s">
        <v>60</v>
      </c>
      <c r="AV245" t="s">
        <v>61</v>
      </c>
      <c r="AW245">
        <v>0</v>
      </c>
      <c r="AX245">
        <v>2</v>
      </c>
      <c r="AY245">
        <v>0</v>
      </c>
      <c r="AZ245">
        <v>0</v>
      </c>
      <c r="BA245">
        <v>100</v>
      </c>
      <c r="BB245">
        <v>100</v>
      </c>
      <c r="BC245">
        <v>100</v>
      </c>
      <c r="BD245">
        <v>100</v>
      </c>
      <c r="BE245">
        <v>1</v>
      </c>
      <c r="BF245">
        <v>15000</v>
      </c>
      <c r="BG245">
        <v>1000</v>
      </c>
      <c r="BH245" s="8">
        <f>Granger_Inventory[[#This Row],[land_extract]]*Lookups!$B$3</f>
        <v>27689.858642911939</v>
      </c>
      <c r="BI245" s="8">
        <f>IF(Granger_Inventory[[#This Row],[bldg_style]]="",0,Lookups!$B$2)</f>
        <v>29703.559000000001</v>
      </c>
      <c r="BJ245" s="8">
        <f>_xlfn.IFNA(VLOOKUP(Granger_Inventory[[#This Row],[quality]],Lookups!$H$2:$J$14,3,FALSE),0)</f>
        <v>34195</v>
      </c>
      <c r="BK245" s="8">
        <f>_xlfn.IFNA(VLOOKUP(Granger_Inventory[[#This Row],[condition]],Lookups!$H$17:$J$24,3,FALSE),0)</f>
        <v>33736</v>
      </c>
      <c r="BL245" s="8">
        <f>Granger_Inventory[[#This Row],[Age]]*Lookups!$B$16</f>
        <v>-19696.4545</v>
      </c>
      <c r="BM245" s="8">
        <f>Granger_Inventory[[#This Row],[living_area]]*Lookups!$B$17</f>
        <v>44400.119939999997</v>
      </c>
      <c r="BN245" s="8">
        <f>(Granger_Inventory[[#This Row],[att_gar]]+Granger_Inventory[[#This Row],[blt_gar]])*Lookups!$B$18</f>
        <v>0</v>
      </c>
      <c r="BO245" s="8">
        <f>Granger_Inventory[[#This Row],[Patio]]*Lookups!$B$19</f>
        <v>0</v>
      </c>
      <c r="BP245" s="8">
        <f>SUM(Granger_Inventory[[#This Row],[Intercept]:[Patio_Value]])*Granger_Inventory[[#This Row],[res_pct]]</f>
        <v>122338.22444000002</v>
      </c>
      <c r="BQ245" s="8">
        <f>Granger_Inventory[[#This Row],[land_value]]</f>
        <v>27689.858642911939</v>
      </c>
      <c r="BR245" s="4">
        <f>_xlfn.IFNA(VLOOKUP(Granger_Inventory[[#This Row],[quality]],Lookups!$A$25:$C$35,3,FALSE),1)</f>
        <v>0.98258795897788032</v>
      </c>
      <c r="BS245" s="4">
        <f>_xlfn.IFNA(VLOOKUP(Granger_Inventory[[#This Row],[condition]],Lookups!$A$38:$C$45,3,FALSE),1)</f>
        <v>0.92294678898076177</v>
      </c>
      <c r="BT245" s="4">
        <f>IF(Granger_Inventory[[#This Row],[decade]]="",1,_xlfn.IFNA(VLOOKUP(Granger_Inventory[[#This Row],[decade]],Lookups!$G$28:$I$42,3,FALSE),1))</f>
        <v>0.879441629375324</v>
      </c>
      <c r="BU245" s="4">
        <f>_xlfn.IFNA(VLOOKUP(Granger_Inventory[[#This Row],[living_area_range]],Lookups!$A$48:$C$57,3,FALSE),1)</f>
        <v>0.81272404900450645</v>
      </c>
      <c r="BV245" s="4">
        <f>AVERAGE(Granger_Inventory[[#This Row],[qual_adj]:[living_range_adj]])</f>
        <v>0.89942510658461816</v>
      </c>
      <c r="BW245" s="8">
        <f>(Granger_Inventory[[#This Row],[sum_land]]-IF(Granger_Inventory[[#This Row],[no_utilities]]=1,12000,0))/IF(Granger_Inventory[[#This Row],[unbuildable]]=1,2,1)</f>
        <v>27689.858642911939</v>
      </c>
      <c r="BX245" s="8">
        <f>Granger_Inventory[[#This Row],[pre_res]]*Granger_Inventory[[#This Row],[overall_adj]]</f>
        <v>110034.07055631996</v>
      </c>
      <c r="BY245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45">
        <f>ROUND(Granger_Inventory[[#This Row],[detatched_value]]*Lookups!$I$45,-2)</f>
        <v>0</v>
      </c>
      <c r="CA245">
        <f>IF(ROUND(Granger_Inventory[[#This Row],[adj_res]]*Lookups!$I$45,-2)&lt;Granger_Inventory[[#This Row],[min_res]],Granger_Inventory[[#This Row],[min_res]],ROUND(Granger_Inventory[[#This Row],[adj_res]]*Lookups!$I$45,-2))</f>
        <v>104500</v>
      </c>
      <c r="CB245">
        <f>Granger_Inventory[[#This Row],[final_det]]+Granger_Inventory[[#This Row],[final_res]]</f>
        <v>104500</v>
      </c>
      <c r="CC245">
        <f>Granger_Inventory[[#This Row],[final_land]]+Granger_Inventory[[#This Row],[final_imp]]+Granger_Inventory[[#This Row],[crop_value]]</f>
        <v>130800</v>
      </c>
      <c r="CE245" t="str">
        <f t="shared" si="3"/>
        <v>update valuation set market_land =26300, market_bldg=104500, market_total =130800, market_mdno =402, market_date ='9/10/2023' where link_id = (select link_id from parcel where parcel_year = '2024' and parcel_id = '21102111423');</v>
      </c>
    </row>
    <row r="246" spans="1:83" x14ac:dyDescent="0.25">
      <c r="A246">
        <v>21102111424</v>
      </c>
      <c r="B246">
        <v>0.15</v>
      </c>
      <c r="C246">
        <v>6435</v>
      </c>
      <c r="D246" t="s">
        <v>137</v>
      </c>
      <c r="E246" t="s">
        <v>54</v>
      </c>
      <c r="F246" t="s">
        <v>54</v>
      </c>
      <c r="G246">
        <v>3</v>
      </c>
      <c r="H246" t="s">
        <v>55</v>
      </c>
      <c r="I246">
        <v>180600</v>
      </c>
      <c r="J246">
        <v>26300</v>
      </c>
      <c r="K246">
        <v>0.15</v>
      </c>
      <c r="L24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46">
        <v>0</v>
      </c>
      <c r="N246">
        <v>0</v>
      </c>
      <c r="O246">
        <v>0</v>
      </c>
      <c r="P246">
        <v>47108.068500000001</v>
      </c>
      <c r="Q246">
        <v>122298</v>
      </c>
      <c r="R246">
        <f>(Granger_Inventory[[#This Row],[ln_acres]]*Granger_Inventory[[#This Row],[coeff]])+Granger_Inventory[[#This Row],[const]]</f>
        <v>32928.341799276939</v>
      </c>
      <c r="S246" t="s">
        <v>62</v>
      </c>
      <c r="T246">
        <v>2</v>
      </c>
      <c r="U246" t="s">
        <v>78</v>
      </c>
      <c r="V246" t="s">
        <v>77</v>
      </c>
      <c r="W246">
        <v>0</v>
      </c>
      <c r="X246">
        <v>0</v>
      </c>
      <c r="Y246">
        <v>42</v>
      </c>
      <c r="Z246">
        <v>42</v>
      </c>
      <c r="AA246">
        <v>50</v>
      </c>
      <c r="AB246">
        <v>2000</v>
      </c>
      <c r="AC246">
        <v>1944</v>
      </c>
      <c r="AD246">
        <v>1584</v>
      </c>
      <c r="AE246">
        <v>360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510</v>
      </c>
      <c r="AL246">
        <v>0</v>
      </c>
      <c r="AM246">
        <v>0</v>
      </c>
      <c r="AN246">
        <v>0</v>
      </c>
      <c r="AO246">
        <v>0</v>
      </c>
      <c r="AP246">
        <v>7</v>
      </c>
      <c r="AQ246">
        <v>0</v>
      </c>
      <c r="AR246">
        <v>0</v>
      </c>
      <c r="AS246" t="s">
        <v>81</v>
      </c>
      <c r="AT246">
        <v>1</v>
      </c>
      <c r="AU246" t="s">
        <v>76</v>
      </c>
      <c r="AV246" t="s">
        <v>65</v>
      </c>
      <c r="AW246">
        <v>0</v>
      </c>
      <c r="AX246">
        <v>4</v>
      </c>
      <c r="AY246">
        <v>0</v>
      </c>
      <c r="AZ246">
        <v>0</v>
      </c>
      <c r="BA246">
        <v>100</v>
      </c>
      <c r="BB246">
        <v>100</v>
      </c>
      <c r="BC246">
        <v>100</v>
      </c>
      <c r="BD246">
        <v>100</v>
      </c>
      <c r="BE246">
        <v>1</v>
      </c>
      <c r="BF246">
        <v>15000</v>
      </c>
      <c r="BG246">
        <v>1000</v>
      </c>
      <c r="BH246" s="8">
        <f>Granger_Inventory[[#This Row],[land_extract]]*Lookups!$B$3</f>
        <v>19616.42740275669</v>
      </c>
      <c r="BI246" s="8">
        <f>IF(Granger_Inventory[[#This Row],[bldg_style]]="",0,Lookups!$B$2)</f>
        <v>29703.559000000001</v>
      </c>
      <c r="BJ246" s="8">
        <f>_xlfn.IFNA(VLOOKUP(Granger_Inventory[[#This Row],[quality]],Lookups!$H$2:$J$14,3,FALSE),0)</f>
        <v>23737.786340274597</v>
      </c>
      <c r="BK246" s="8">
        <f>_xlfn.IFNA(VLOOKUP(Granger_Inventory[[#This Row],[condition]],Lookups!$H$17:$J$24,3,FALSE),0)</f>
        <v>33736</v>
      </c>
      <c r="BL246" s="8">
        <f>Granger_Inventory[[#This Row],[Age]]*Lookups!$B$16</f>
        <v>-8707.9061999999994</v>
      </c>
      <c r="BM246" s="8">
        <f>Granger_Inventory[[#This Row],[living_area]]*Lookups!$B$17</f>
        <v>130778.53509599999</v>
      </c>
      <c r="BN246" s="8">
        <f>(Granger_Inventory[[#This Row],[att_gar]]+Granger_Inventory[[#This Row],[blt_gar]])*Lookups!$B$18</f>
        <v>0</v>
      </c>
      <c r="BO246" s="8">
        <f>Granger_Inventory[[#This Row],[Patio]]*Lookups!$B$19</f>
        <v>0</v>
      </c>
      <c r="BP246" s="8">
        <f>SUM(Granger_Inventory[[#This Row],[Intercept]:[Patio_Value]])*Granger_Inventory[[#This Row],[res_pct]]</f>
        <v>209247.9742362746</v>
      </c>
      <c r="BQ246" s="8">
        <f>Granger_Inventory[[#This Row],[land_value]]</f>
        <v>19616.42740275669</v>
      </c>
      <c r="BR246" s="4">
        <f>_xlfn.IFNA(VLOOKUP(Granger_Inventory[[#This Row],[quality]],Lookups!$A$25:$C$35,3,FALSE),1)</f>
        <v>0.77695375541795109</v>
      </c>
      <c r="BS246" s="4">
        <f>_xlfn.IFNA(VLOOKUP(Granger_Inventory[[#This Row],[condition]],Lookups!$A$38:$C$45,3,FALSE),1)</f>
        <v>0.92294678898076177</v>
      </c>
      <c r="BT246" s="4">
        <f>IF(Granger_Inventory[[#This Row],[decade]]="",1,_xlfn.IFNA(VLOOKUP(Granger_Inventory[[#This Row],[decade]],Lookups!$G$28:$I$42,3,FALSE),1))</f>
        <v>1.2441094871772171</v>
      </c>
      <c r="BU246" s="4">
        <f>_xlfn.IFNA(VLOOKUP(Granger_Inventory[[#This Row],[living_area_range]],Lookups!$A$48:$C$57,3,FALSE),1)</f>
        <v>0.97860968051050168</v>
      </c>
      <c r="BV246" s="4">
        <f>AVERAGE(Granger_Inventory[[#This Row],[qual_adj]:[living_range_adj]])</f>
        <v>0.98065492802160792</v>
      </c>
      <c r="BW246" s="8">
        <f>(Granger_Inventory[[#This Row],[sum_land]]-IF(Granger_Inventory[[#This Row],[no_utilities]]=1,12000,0))/IF(Granger_Inventory[[#This Row],[unbuildable]]=1,2,1)</f>
        <v>19616.42740275669</v>
      </c>
      <c r="BX246" s="8">
        <f>Granger_Inventory[[#This Row],[pre_res]]*Granger_Inventory[[#This Row],[overall_adj]]</f>
        <v>205200.05711334114</v>
      </c>
      <c r="BY24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46">
        <f>ROUND(Granger_Inventory[[#This Row],[detatched_value]]*Lookups!$I$45,-2)</f>
        <v>0</v>
      </c>
      <c r="CA246">
        <f>IF(ROUND(Granger_Inventory[[#This Row],[adj_res]]*Lookups!$I$45,-2)&lt;Granger_Inventory[[#This Row],[min_res]],Granger_Inventory[[#This Row],[min_res]],ROUND(Granger_Inventory[[#This Row],[adj_res]]*Lookups!$I$45,-2))</f>
        <v>194900</v>
      </c>
      <c r="CB246">
        <f>Granger_Inventory[[#This Row],[final_det]]+Granger_Inventory[[#This Row],[final_res]]</f>
        <v>194900</v>
      </c>
      <c r="CC246">
        <f>Granger_Inventory[[#This Row],[final_land]]+Granger_Inventory[[#This Row],[final_imp]]+Granger_Inventory[[#This Row],[crop_value]]</f>
        <v>213500</v>
      </c>
      <c r="CE246" t="str">
        <f t="shared" si="3"/>
        <v>update valuation set market_land =18600, market_bldg=194900, market_total =213500, market_mdno =402, market_date ='9/10/2023' where link_id = (select link_id from parcel where parcel_year = '2024' and parcel_id = '21102111424');</v>
      </c>
    </row>
    <row r="247" spans="1:83" x14ac:dyDescent="0.25">
      <c r="A247">
        <v>21102111426</v>
      </c>
      <c r="B247">
        <v>0.2</v>
      </c>
      <c r="C247">
        <v>8875</v>
      </c>
      <c r="D247" t="s">
        <v>137</v>
      </c>
      <c r="E247" t="s">
        <v>54</v>
      </c>
      <c r="F247" t="s">
        <v>54</v>
      </c>
      <c r="G247">
        <v>3</v>
      </c>
      <c r="H247" t="s">
        <v>55</v>
      </c>
      <c r="I247">
        <v>164900</v>
      </c>
      <c r="J247">
        <v>28000</v>
      </c>
      <c r="K247">
        <v>0.2</v>
      </c>
      <c r="L247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47">
        <v>0</v>
      </c>
      <c r="N247">
        <v>0</v>
      </c>
      <c r="O247">
        <v>0</v>
      </c>
      <c r="P247">
        <v>47108.068500000001</v>
      </c>
      <c r="Q247">
        <v>122298</v>
      </c>
      <c r="R247">
        <f>(Granger_Inventory[[#This Row],[ln_acres]]*Granger_Inventory[[#This Row],[coeff]])+Granger_Inventory[[#This Row],[const]]</f>
        <v>46480.488574557399</v>
      </c>
      <c r="S247" t="s">
        <v>56</v>
      </c>
      <c r="T247">
        <v>1</v>
      </c>
      <c r="U247" t="s">
        <v>71</v>
      </c>
      <c r="V247" t="s">
        <v>77</v>
      </c>
      <c r="W247">
        <v>0</v>
      </c>
      <c r="X247">
        <v>0</v>
      </c>
      <c r="Y247">
        <v>47</v>
      </c>
      <c r="Z247">
        <v>56</v>
      </c>
      <c r="AA247">
        <v>60</v>
      </c>
      <c r="AB247">
        <v>2000</v>
      </c>
      <c r="AC247">
        <v>1548</v>
      </c>
      <c r="AD247">
        <v>1548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8</v>
      </c>
      <c r="AQ247">
        <v>0</v>
      </c>
      <c r="AR247">
        <v>0</v>
      </c>
      <c r="AS247" t="s">
        <v>59</v>
      </c>
      <c r="AT247">
        <v>1</v>
      </c>
      <c r="AU247" t="s">
        <v>60</v>
      </c>
      <c r="AV247" t="s">
        <v>61</v>
      </c>
      <c r="AW247">
        <v>0</v>
      </c>
      <c r="AX247">
        <v>4</v>
      </c>
      <c r="AY247">
        <v>0</v>
      </c>
      <c r="AZ247">
        <v>0</v>
      </c>
      <c r="BA247">
        <v>100</v>
      </c>
      <c r="BB247">
        <v>100</v>
      </c>
      <c r="BC247">
        <v>100</v>
      </c>
      <c r="BD247">
        <v>100</v>
      </c>
      <c r="BE247">
        <v>1</v>
      </c>
      <c r="BF247">
        <v>15000</v>
      </c>
      <c r="BG247">
        <v>1000</v>
      </c>
      <c r="BH247" s="8">
        <f>Granger_Inventory[[#This Row],[land_extract]]*Lookups!$B$3</f>
        <v>27689.858642911939</v>
      </c>
      <c r="BI247" s="8">
        <f>IF(Granger_Inventory[[#This Row],[bldg_style]]="",0,Lookups!$B$2)</f>
        <v>29703.559000000001</v>
      </c>
      <c r="BJ247" s="8">
        <f>_xlfn.IFNA(VLOOKUP(Granger_Inventory[[#This Row],[quality]],Lookups!$H$2:$J$14,3,FALSE),0)</f>
        <v>34195</v>
      </c>
      <c r="BK247" s="8">
        <f>_xlfn.IFNA(VLOOKUP(Granger_Inventory[[#This Row],[condition]],Lookups!$H$17:$J$24,3,FALSE),0)</f>
        <v>33736</v>
      </c>
      <c r="BL247" s="8">
        <f>Granger_Inventory[[#This Row],[Age]]*Lookups!$B$16</f>
        <v>-11610.5416</v>
      </c>
      <c r="BM247" s="8">
        <f>Granger_Inventory[[#This Row],[living_area]]*Lookups!$B$17</f>
        <v>104138.463132</v>
      </c>
      <c r="BN247" s="8">
        <f>(Granger_Inventory[[#This Row],[att_gar]]+Granger_Inventory[[#This Row],[blt_gar]])*Lookups!$B$18</f>
        <v>0</v>
      </c>
      <c r="BO247" s="8">
        <f>Granger_Inventory[[#This Row],[Patio]]*Lookups!$B$19</f>
        <v>0</v>
      </c>
      <c r="BP247" s="8">
        <f>SUM(Granger_Inventory[[#This Row],[Intercept]:[Patio_Value]])*Granger_Inventory[[#This Row],[res_pct]]</f>
        <v>190162.48053200002</v>
      </c>
      <c r="BQ247" s="8">
        <f>Granger_Inventory[[#This Row],[land_value]]</f>
        <v>27689.858642911939</v>
      </c>
      <c r="BR247" s="4">
        <f>_xlfn.IFNA(VLOOKUP(Granger_Inventory[[#This Row],[quality]],Lookups!$A$25:$C$35,3,FALSE),1)</f>
        <v>0.98258795897788032</v>
      </c>
      <c r="BS247" s="4">
        <f>_xlfn.IFNA(VLOOKUP(Granger_Inventory[[#This Row],[condition]],Lookups!$A$38:$C$45,3,FALSE),1)</f>
        <v>0.92294678898076177</v>
      </c>
      <c r="BT247" s="4">
        <f>IF(Granger_Inventory[[#This Row],[decade]]="",1,_xlfn.IFNA(VLOOKUP(Granger_Inventory[[#This Row],[decade]],Lookups!$G$28:$I$42,3,FALSE),1))</f>
        <v>0.86581421791274704</v>
      </c>
      <c r="BU247" s="4">
        <f>_xlfn.IFNA(VLOOKUP(Granger_Inventory[[#This Row],[living_area_range]],Lookups!$A$48:$C$57,3,FALSE),1)</f>
        <v>0.97860968051050168</v>
      </c>
      <c r="BV247" s="4">
        <f>AVERAGE(Granger_Inventory[[#This Row],[qual_adj]:[living_range_adj]])</f>
        <v>0.93748966159547265</v>
      </c>
      <c r="BW247" s="8">
        <f>(Granger_Inventory[[#This Row],[sum_land]]-IF(Granger_Inventory[[#This Row],[no_utilities]]=1,12000,0))/IF(Granger_Inventory[[#This Row],[unbuildable]]=1,2,1)</f>
        <v>27689.858642911939</v>
      </c>
      <c r="BX247" s="8">
        <f>Granger_Inventory[[#This Row],[pre_res]]*Granger_Inventory[[#This Row],[overall_adj]]</f>
        <v>178275.35952210036</v>
      </c>
      <c r="BY247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47">
        <f>ROUND(Granger_Inventory[[#This Row],[detatched_value]]*Lookups!$I$45,-2)</f>
        <v>0</v>
      </c>
      <c r="CA247">
        <f>IF(ROUND(Granger_Inventory[[#This Row],[adj_res]]*Lookups!$I$45,-2)&lt;Granger_Inventory[[#This Row],[min_res]],Granger_Inventory[[#This Row],[min_res]],ROUND(Granger_Inventory[[#This Row],[adj_res]]*Lookups!$I$45,-2))</f>
        <v>169400</v>
      </c>
      <c r="CB247">
        <f>Granger_Inventory[[#This Row],[final_det]]+Granger_Inventory[[#This Row],[final_res]]</f>
        <v>169400</v>
      </c>
      <c r="CC247">
        <f>Granger_Inventory[[#This Row],[final_land]]+Granger_Inventory[[#This Row],[final_imp]]+Granger_Inventory[[#This Row],[crop_value]]</f>
        <v>195700</v>
      </c>
      <c r="CE247" t="str">
        <f t="shared" si="3"/>
        <v>update valuation set market_land =26300, market_bldg=169400, market_total =195700, market_mdno =402, market_date ='9/10/2023' where link_id = (select link_id from parcel where parcel_year = '2024' and parcel_id = '21102111426');</v>
      </c>
    </row>
    <row r="248" spans="1:83" x14ac:dyDescent="0.25">
      <c r="A248">
        <v>21102111431</v>
      </c>
      <c r="B248">
        <v>0.23</v>
      </c>
      <c r="C248">
        <v>9941</v>
      </c>
      <c r="D248" t="s">
        <v>137</v>
      </c>
      <c r="E248" t="s">
        <v>54</v>
      </c>
      <c r="F248" t="s">
        <v>54</v>
      </c>
      <c r="G248">
        <v>3</v>
      </c>
      <c r="H248" t="s">
        <v>55</v>
      </c>
      <c r="I248">
        <v>142400</v>
      </c>
      <c r="J248">
        <v>28900</v>
      </c>
      <c r="K248">
        <v>0.23</v>
      </c>
      <c r="L248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48">
        <v>0</v>
      </c>
      <c r="N248">
        <v>0</v>
      </c>
      <c r="O248">
        <v>0</v>
      </c>
      <c r="P248">
        <v>47108.068500000001</v>
      </c>
      <c r="Q248">
        <v>122298</v>
      </c>
      <c r="R248">
        <f>(Granger_Inventory[[#This Row],[ln_acres]]*Granger_Inventory[[#This Row],[coeff]])+Granger_Inventory[[#This Row],[const]]</f>
        <v>53064.403729659418</v>
      </c>
      <c r="S248" t="s">
        <v>56</v>
      </c>
      <c r="T248">
        <v>1</v>
      </c>
      <c r="U248" t="s">
        <v>64</v>
      </c>
      <c r="V248" t="s">
        <v>77</v>
      </c>
      <c r="W248">
        <v>0</v>
      </c>
      <c r="X248">
        <v>0</v>
      </c>
      <c r="Y248">
        <v>47</v>
      </c>
      <c r="Z248">
        <v>56</v>
      </c>
      <c r="AA248">
        <v>60</v>
      </c>
      <c r="AB248">
        <v>1500</v>
      </c>
      <c r="AC248">
        <v>1008</v>
      </c>
      <c r="AD248">
        <v>1008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578</v>
      </c>
      <c r="AL248">
        <v>0</v>
      </c>
      <c r="AM248">
        <v>0</v>
      </c>
      <c r="AN248">
        <v>0</v>
      </c>
      <c r="AO248">
        <v>0</v>
      </c>
      <c r="AP248">
        <v>7</v>
      </c>
      <c r="AQ248">
        <v>0</v>
      </c>
      <c r="AR248">
        <v>0</v>
      </c>
      <c r="AS248" t="s">
        <v>59</v>
      </c>
      <c r="AT248">
        <v>1</v>
      </c>
      <c r="AU248" t="s">
        <v>60</v>
      </c>
      <c r="AV248" t="s">
        <v>61</v>
      </c>
      <c r="AW248">
        <v>0</v>
      </c>
      <c r="AX248">
        <v>4</v>
      </c>
      <c r="AY248">
        <v>0</v>
      </c>
      <c r="AZ248">
        <v>8400</v>
      </c>
      <c r="BA248">
        <v>100</v>
      </c>
      <c r="BB248">
        <v>100</v>
      </c>
      <c r="BC248">
        <v>100</v>
      </c>
      <c r="BD248">
        <v>100</v>
      </c>
      <c r="BE248">
        <v>1</v>
      </c>
      <c r="BF248">
        <v>15000</v>
      </c>
      <c r="BG248">
        <v>1000</v>
      </c>
      <c r="BH248" s="8">
        <f>Granger_Inventory[[#This Row],[land_extract]]*Lookups!$B$3</f>
        <v>31612.09968539299</v>
      </c>
      <c r="BI248" s="8">
        <f>IF(Granger_Inventory[[#This Row],[bldg_style]]="",0,Lookups!$B$2)</f>
        <v>29703.559000000001</v>
      </c>
      <c r="BJ248" s="8">
        <f>_xlfn.IFNA(VLOOKUP(Granger_Inventory[[#This Row],[quality]],Lookups!$H$2:$J$14,3,FALSE),0)</f>
        <v>36568</v>
      </c>
      <c r="BK248" s="8">
        <f>_xlfn.IFNA(VLOOKUP(Granger_Inventory[[#This Row],[condition]],Lookups!$H$17:$J$24,3,FALSE),0)</f>
        <v>33736</v>
      </c>
      <c r="BL248" s="8">
        <f>Granger_Inventory[[#This Row],[Age]]*Lookups!$B$16</f>
        <v>-11610.5416</v>
      </c>
      <c r="BM248" s="8">
        <f>Granger_Inventory[[#This Row],[living_area]]*Lookups!$B$17</f>
        <v>67811.092271999994</v>
      </c>
      <c r="BN248" s="8">
        <f>(Granger_Inventory[[#This Row],[att_gar]]+Granger_Inventory[[#This Row],[blt_gar]])*Lookups!$B$18</f>
        <v>0</v>
      </c>
      <c r="BO248" s="8">
        <f>Granger_Inventory[[#This Row],[Patio]]*Lookups!$B$19</f>
        <v>0</v>
      </c>
      <c r="BP248" s="8">
        <f>SUM(Granger_Inventory[[#This Row],[Intercept]:[Patio_Value]])*Granger_Inventory[[#This Row],[res_pct]]</f>
        <v>156208.10967199999</v>
      </c>
      <c r="BQ248" s="8">
        <f>Granger_Inventory[[#This Row],[land_value]]</f>
        <v>31612.09968539299</v>
      </c>
      <c r="BR248" s="4">
        <f>_xlfn.IFNA(VLOOKUP(Granger_Inventory[[#This Row],[quality]],Lookups!$A$25:$C$35,3,FALSE),1)</f>
        <v>0.99049976351917957</v>
      </c>
      <c r="BS248" s="4">
        <f>_xlfn.IFNA(VLOOKUP(Granger_Inventory[[#This Row],[condition]],Lookups!$A$38:$C$45,3,FALSE),1)</f>
        <v>0.92294678898076177</v>
      </c>
      <c r="BT248" s="4">
        <f>IF(Granger_Inventory[[#This Row],[decade]]="",1,_xlfn.IFNA(VLOOKUP(Granger_Inventory[[#This Row],[decade]],Lookups!$G$28:$I$42,3,FALSE),1))</f>
        <v>0.86581421791274704</v>
      </c>
      <c r="BU248" s="4">
        <f>_xlfn.IFNA(VLOOKUP(Granger_Inventory[[#This Row],[living_area_range]],Lookups!$A$48:$C$57,3,FALSE),1)</f>
        <v>0.97960506760539345</v>
      </c>
      <c r="BV248" s="4">
        <f>AVERAGE(Granger_Inventory[[#This Row],[qual_adj]:[living_range_adj]])</f>
        <v>0.93971645950452043</v>
      </c>
      <c r="BW248" s="8">
        <f>(Granger_Inventory[[#This Row],[sum_land]]-IF(Granger_Inventory[[#This Row],[no_utilities]]=1,12000,0))/IF(Granger_Inventory[[#This Row],[unbuildable]]=1,2,1)</f>
        <v>31612.09968539299</v>
      </c>
      <c r="BX248" s="8">
        <f>Granger_Inventory[[#This Row],[pre_res]]*Granger_Inventory[[#This Row],[overall_adj]]</f>
        <v>146791.33176686565</v>
      </c>
      <c r="BY248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48">
        <f>ROUND(Granger_Inventory[[#This Row],[detatched_value]]*Lookups!$I$45,-2)</f>
        <v>8000</v>
      </c>
      <c r="CA248">
        <f>IF(ROUND(Granger_Inventory[[#This Row],[adj_res]]*Lookups!$I$45,-2)&lt;Granger_Inventory[[#This Row],[min_res]],Granger_Inventory[[#This Row],[min_res]],ROUND(Granger_Inventory[[#This Row],[adj_res]]*Lookups!$I$45,-2))</f>
        <v>139500</v>
      </c>
      <c r="CB248">
        <f>Granger_Inventory[[#This Row],[final_det]]+Granger_Inventory[[#This Row],[final_res]]</f>
        <v>147500</v>
      </c>
      <c r="CC248">
        <f>Granger_Inventory[[#This Row],[final_land]]+Granger_Inventory[[#This Row],[final_imp]]+Granger_Inventory[[#This Row],[crop_value]]</f>
        <v>177500</v>
      </c>
      <c r="CE248" t="str">
        <f t="shared" si="3"/>
        <v>update valuation set market_land =30000, market_bldg=147500, market_total =177500, market_mdno =402, market_date ='9/10/2023' where link_id = (select link_id from parcel where parcel_year = '2024' and parcel_id = '21102111431');</v>
      </c>
    </row>
    <row r="249" spans="1:83" x14ac:dyDescent="0.25">
      <c r="A249">
        <v>21102111435</v>
      </c>
      <c r="B249">
        <v>0.22</v>
      </c>
      <c r="C249" t="s">
        <v>137</v>
      </c>
      <c r="D249" t="s">
        <v>137</v>
      </c>
      <c r="E249" t="s">
        <v>54</v>
      </c>
      <c r="F249" t="s">
        <v>54</v>
      </c>
      <c r="G249">
        <v>3</v>
      </c>
      <c r="H249" t="s">
        <v>55</v>
      </c>
      <c r="I249">
        <v>263700</v>
      </c>
      <c r="J249">
        <v>28600</v>
      </c>
      <c r="K249">
        <v>0.22</v>
      </c>
      <c r="L249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249">
        <v>0</v>
      </c>
      <c r="N249">
        <v>0</v>
      </c>
      <c r="O249">
        <v>0</v>
      </c>
      <c r="P249">
        <v>47108.068500000001</v>
      </c>
      <c r="Q249">
        <v>122298</v>
      </c>
      <c r="R249">
        <f>(Granger_Inventory[[#This Row],[ln_acres]]*Granger_Inventory[[#This Row],[coeff]])+Granger_Inventory[[#This Row],[const]]</f>
        <v>50970.367053526847</v>
      </c>
      <c r="S249" t="s">
        <v>62</v>
      </c>
      <c r="T249">
        <v>2</v>
      </c>
      <c r="U249" t="s">
        <v>71</v>
      </c>
      <c r="V249" t="s">
        <v>72</v>
      </c>
      <c r="W249">
        <v>0</v>
      </c>
      <c r="X249">
        <v>0</v>
      </c>
      <c r="Y249">
        <v>52</v>
      </c>
      <c r="Z249">
        <v>88</v>
      </c>
      <c r="AA249">
        <v>90</v>
      </c>
      <c r="AB249">
        <v>2500</v>
      </c>
      <c r="AC249">
        <v>2360</v>
      </c>
      <c r="AD249">
        <v>1910</v>
      </c>
      <c r="AE249">
        <v>450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208</v>
      </c>
      <c r="AN249">
        <v>0</v>
      </c>
      <c r="AO249">
        <v>0</v>
      </c>
      <c r="AP249">
        <v>8</v>
      </c>
      <c r="AQ249">
        <v>1</v>
      </c>
      <c r="AR249">
        <v>0</v>
      </c>
      <c r="AS249" t="s">
        <v>59</v>
      </c>
      <c r="AT249">
        <v>1</v>
      </c>
      <c r="AU249" t="s">
        <v>76</v>
      </c>
      <c r="AV249" t="s">
        <v>65</v>
      </c>
      <c r="AW249">
        <v>0</v>
      </c>
      <c r="AX249">
        <v>3</v>
      </c>
      <c r="AY249">
        <v>0</v>
      </c>
      <c r="AZ249">
        <v>2600</v>
      </c>
      <c r="BA249">
        <v>100</v>
      </c>
      <c r="BB249">
        <v>100</v>
      </c>
      <c r="BC249">
        <v>100</v>
      </c>
      <c r="BD249">
        <v>100</v>
      </c>
      <c r="BE249">
        <v>1</v>
      </c>
      <c r="BF249">
        <v>15000</v>
      </c>
      <c r="BG249">
        <v>1000</v>
      </c>
      <c r="BH249" s="8">
        <f>Granger_Inventory[[#This Row],[land_extract]]*Lookups!$B$3</f>
        <v>30364.617541091193</v>
      </c>
      <c r="BI249" s="8">
        <f>IF(Granger_Inventory[[#This Row],[bldg_style]]="",0,Lookups!$B$2)</f>
        <v>29703.559000000001</v>
      </c>
      <c r="BJ249" s="8">
        <f>_xlfn.IFNA(VLOOKUP(Granger_Inventory[[#This Row],[quality]],Lookups!$H$2:$J$14,3,FALSE),0)</f>
        <v>34195</v>
      </c>
      <c r="BK249" s="8">
        <f>_xlfn.IFNA(VLOOKUP(Granger_Inventory[[#This Row],[condition]],Lookups!$H$17:$J$24,3,FALSE),0)</f>
        <v>94106</v>
      </c>
      <c r="BL249" s="8">
        <f>Granger_Inventory[[#This Row],[Age]]*Lookups!$B$16</f>
        <v>-18245.1368</v>
      </c>
      <c r="BM249" s="8">
        <f>Granger_Inventory[[#This Row],[living_area]]*Lookups!$B$17</f>
        <v>158764.06524</v>
      </c>
      <c r="BN249" s="8">
        <f>(Granger_Inventory[[#This Row],[att_gar]]+Granger_Inventory[[#This Row],[blt_gar]])*Lookups!$B$18</f>
        <v>0</v>
      </c>
      <c r="BO249" s="8">
        <f>Granger_Inventory[[#This Row],[Patio]]*Lookups!$B$19</f>
        <v>11297.539967999999</v>
      </c>
      <c r="BP249" s="8">
        <f>SUM(Granger_Inventory[[#This Row],[Intercept]:[Patio_Value]])*Granger_Inventory[[#This Row],[res_pct]]</f>
        <v>309821.02740800002</v>
      </c>
      <c r="BQ249" s="8">
        <f>Granger_Inventory[[#This Row],[land_value]]</f>
        <v>30364.617541091193</v>
      </c>
      <c r="BR249" s="4">
        <f>_xlfn.IFNA(VLOOKUP(Granger_Inventory[[#This Row],[quality]],Lookups!$A$25:$C$35,3,FALSE),1)</f>
        <v>0.98258795897788032</v>
      </c>
      <c r="BS249" s="4">
        <f>_xlfn.IFNA(VLOOKUP(Granger_Inventory[[#This Row],[condition]],Lookups!$A$38:$C$45,3,FALSE),1)</f>
        <v>0.98658583151544277</v>
      </c>
      <c r="BT249" s="4">
        <f>IF(Granger_Inventory[[#This Row],[decade]]="",1,_xlfn.IFNA(VLOOKUP(Granger_Inventory[[#This Row],[decade]],Lookups!$G$28:$I$42,3,FALSE),1))</f>
        <v>0.95234610137492615</v>
      </c>
      <c r="BU249" s="4">
        <f>_xlfn.IFNA(VLOOKUP(Granger_Inventory[[#This Row],[living_area_range]],Lookups!$A$48:$C$57,3,FALSE),1)</f>
        <v>1.0000039906678986</v>
      </c>
      <c r="BV249" s="4">
        <f>AVERAGE(Granger_Inventory[[#This Row],[qual_adj]:[living_range_adj]])</f>
        <v>0.98038097063403695</v>
      </c>
      <c r="BW249" s="8">
        <f>(Granger_Inventory[[#This Row],[sum_land]]-IF(Granger_Inventory[[#This Row],[no_utilities]]=1,12000,0))/IF(Granger_Inventory[[#This Row],[unbuildable]]=1,2,1)</f>
        <v>30364.617541091193</v>
      </c>
      <c r="BX249" s="8">
        <f>Granger_Inventory[[#This Row],[pre_res]]*Granger_Inventory[[#This Row],[overall_adj]]</f>
        <v>303742.6395730896</v>
      </c>
      <c r="BY249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249">
        <f>ROUND(Granger_Inventory[[#This Row],[detatched_value]]*Lookups!$I$45,-2)</f>
        <v>2500</v>
      </c>
      <c r="CA249">
        <f>IF(ROUND(Granger_Inventory[[#This Row],[adj_res]]*Lookups!$I$45,-2)&lt;Granger_Inventory[[#This Row],[min_res]],Granger_Inventory[[#This Row],[min_res]],ROUND(Granger_Inventory[[#This Row],[adj_res]]*Lookups!$I$45,-2))</f>
        <v>288600</v>
      </c>
      <c r="CB249">
        <f>Granger_Inventory[[#This Row],[final_det]]+Granger_Inventory[[#This Row],[final_res]]</f>
        <v>291100</v>
      </c>
      <c r="CC249">
        <f>Granger_Inventory[[#This Row],[final_land]]+Granger_Inventory[[#This Row],[final_imp]]+Granger_Inventory[[#This Row],[crop_value]]</f>
        <v>319900</v>
      </c>
      <c r="CE249" t="str">
        <f t="shared" si="3"/>
        <v>update valuation set market_land =28800, market_bldg=291100, market_total =319900, market_mdno =402, market_date ='9/10/2023' where link_id = (select link_id from parcel where parcel_year = '2024' and parcel_id = '21102111435');</v>
      </c>
    </row>
    <row r="250" spans="1:83" x14ac:dyDescent="0.25">
      <c r="A250">
        <v>21102111436</v>
      </c>
      <c r="B250">
        <v>0.15</v>
      </c>
      <c r="C250">
        <v>6554</v>
      </c>
      <c r="D250" t="s">
        <v>137</v>
      </c>
      <c r="E250" t="s">
        <v>54</v>
      </c>
      <c r="F250" t="s">
        <v>54</v>
      </c>
      <c r="G250">
        <v>3</v>
      </c>
      <c r="H250" t="s">
        <v>55</v>
      </c>
      <c r="I250">
        <v>122000</v>
      </c>
      <c r="J250">
        <v>26300</v>
      </c>
      <c r="K250">
        <v>0.15</v>
      </c>
      <c r="L250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50">
        <v>0</v>
      </c>
      <c r="N250">
        <v>0</v>
      </c>
      <c r="O250">
        <v>0</v>
      </c>
      <c r="P250">
        <v>47108.068500000001</v>
      </c>
      <c r="Q250">
        <v>122298</v>
      </c>
      <c r="R250">
        <f>(Granger_Inventory[[#This Row],[ln_acres]]*Granger_Inventory[[#This Row],[coeff]])+Granger_Inventory[[#This Row],[const]]</f>
        <v>32928.341799276939</v>
      </c>
      <c r="S250" t="s">
        <v>69</v>
      </c>
      <c r="T250">
        <v>1</v>
      </c>
      <c r="U250" t="s">
        <v>71</v>
      </c>
      <c r="V250" t="s">
        <v>77</v>
      </c>
      <c r="W250">
        <v>0</v>
      </c>
      <c r="X250">
        <v>0</v>
      </c>
      <c r="Y250">
        <v>51</v>
      </c>
      <c r="Z250">
        <v>80</v>
      </c>
      <c r="AA250">
        <v>80</v>
      </c>
      <c r="AB250">
        <v>1500</v>
      </c>
      <c r="AC250">
        <v>1475</v>
      </c>
      <c r="AD250">
        <v>983</v>
      </c>
      <c r="AE250">
        <v>0</v>
      </c>
      <c r="AF250">
        <v>0</v>
      </c>
      <c r="AG250">
        <v>492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5</v>
      </c>
      <c r="AQ250">
        <v>0</v>
      </c>
      <c r="AR250">
        <v>0</v>
      </c>
      <c r="AS250" t="s">
        <v>59</v>
      </c>
      <c r="AT250">
        <v>1</v>
      </c>
      <c r="AU250" t="s">
        <v>60</v>
      </c>
      <c r="AV250" t="s">
        <v>61</v>
      </c>
      <c r="AW250">
        <v>0</v>
      </c>
      <c r="AX250">
        <v>2</v>
      </c>
      <c r="AY250">
        <v>0</v>
      </c>
      <c r="AZ250">
        <v>6400</v>
      </c>
      <c r="BA250">
        <v>100</v>
      </c>
      <c r="BB250">
        <v>100</v>
      </c>
      <c r="BC250">
        <v>100</v>
      </c>
      <c r="BD250">
        <v>100</v>
      </c>
      <c r="BE250">
        <v>1</v>
      </c>
      <c r="BF250">
        <v>15000</v>
      </c>
      <c r="BG250">
        <v>1000</v>
      </c>
      <c r="BH250" s="8">
        <f>Granger_Inventory[[#This Row],[land_extract]]*Lookups!$B$3</f>
        <v>19616.42740275669</v>
      </c>
      <c r="BI250" s="8">
        <f>IF(Granger_Inventory[[#This Row],[bldg_style]]="",0,Lookups!$B$2)</f>
        <v>29703.559000000001</v>
      </c>
      <c r="BJ250" s="8">
        <f>_xlfn.IFNA(VLOOKUP(Granger_Inventory[[#This Row],[quality]],Lookups!$H$2:$J$14,3,FALSE),0)</f>
        <v>34195</v>
      </c>
      <c r="BK250" s="8">
        <f>_xlfn.IFNA(VLOOKUP(Granger_Inventory[[#This Row],[condition]],Lookups!$H$17:$J$24,3,FALSE),0)</f>
        <v>33736</v>
      </c>
      <c r="BL250" s="8">
        <f>Granger_Inventory[[#This Row],[Age]]*Lookups!$B$16</f>
        <v>-16586.487999999998</v>
      </c>
      <c r="BM250" s="8">
        <f>Granger_Inventory[[#This Row],[living_area]]*Lookups!$B$17</f>
        <v>99227.540775000001</v>
      </c>
      <c r="BN250" s="8">
        <f>(Granger_Inventory[[#This Row],[att_gar]]+Granger_Inventory[[#This Row],[blt_gar]])*Lookups!$B$18</f>
        <v>0</v>
      </c>
      <c r="BO250" s="8">
        <f>Granger_Inventory[[#This Row],[Patio]]*Lookups!$B$19</f>
        <v>0</v>
      </c>
      <c r="BP250" s="8">
        <f>SUM(Granger_Inventory[[#This Row],[Intercept]:[Patio_Value]])*Granger_Inventory[[#This Row],[res_pct]]</f>
        <v>180275.611775</v>
      </c>
      <c r="BQ250" s="8">
        <f>Granger_Inventory[[#This Row],[land_value]]</f>
        <v>19616.42740275669</v>
      </c>
      <c r="BR250" s="4">
        <f>_xlfn.IFNA(VLOOKUP(Granger_Inventory[[#This Row],[quality]],Lookups!$A$25:$C$35,3,FALSE),1)</f>
        <v>0.98258795897788032</v>
      </c>
      <c r="BS250" s="4">
        <f>_xlfn.IFNA(VLOOKUP(Granger_Inventory[[#This Row],[condition]],Lookups!$A$38:$C$45,3,FALSE),1)</f>
        <v>0.92294678898076177</v>
      </c>
      <c r="BT250" s="4">
        <f>IF(Granger_Inventory[[#This Row],[decade]]="",1,_xlfn.IFNA(VLOOKUP(Granger_Inventory[[#This Row],[decade]],Lookups!$G$28:$I$42,3,FALSE),1))</f>
        <v>0.76006056002554967</v>
      </c>
      <c r="BU250" s="4">
        <f>_xlfn.IFNA(VLOOKUP(Granger_Inventory[[#This Row],[living_area_range]],Lookups!$A$48:$C$57,3,FALSE),1)</f>
        <v>0.97960506760539345</v>
      </c>
      <c r="BV250" s="4">
        <f>AVERAGE(Granger_Inventory[[#This Row],[qual_adj]:[living_range_adj]])</f>
        <v>0.9113000938973963</v>
      </c>
      <c r="BW250" s="8">
        <f>(Granger_Inventory[[#This Row],[sum_land]]-IF(Granger_Inventory[[#This Row],[no_utilities]]=1,12000,0))/IF(Granger_Inventory[[#This Row],[unbuildable]]=1,2,1)</f>
        <v>19616.42740275669</v>
      </c>
      <c r="BX250" s="8">
        <f>Granger_Inventory[[#This Row],[pre_res]]*Granger_Inventory[[#This Row],[overall_adj]]</f>
        <v>164285.18193796807</v>
      </c>
      <c r="BY250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50">
        <f>ROUND(Granger_Inventory[[#This Row],[detatched_value]]*Lookups!$I$45,-2)</f>
        <v>6100</v>
      </c>
      <c r="CA250">
        <f>IF(ROUND(Granger_Inventory[[#This Row],[adj_res]]*Lookups!$I$45,-2)&lt;Granger_Inventory[[#This Row],[min_res]],Granger_Inventory[[#This Row],[min_res]],ROUND(Granger_Inventory[[#This Row],[adj_res]]*Lookups!$I$45,-2))</f>
        <v>156100</v>
      </c>
      <c r="CB250">
        <f>Granger_Inventory[[#This Row],[final_det]]+Granger_Inventory[[#This Row],[final_res]]</f>
        <v>162200</v>
      </c>
      <c r="CC250">
        <f>Granger_Inventory[[#This Row],[final_land]]+Granger_Inventory[[#This Row],[final_imp]]+Granger_Inventory[[#This Row],[crop_value]]</f>
        <v>180800</v>
      </c>
      <c r="CE250" t="str">
        <f t="shared" si="3"/>
        <v>update valuation set market_land =18600, market_bldg=162200, market_total =180800, market_mdno =402, market_date ='9/10/2023' where link_id = (select link_id from parcel where parcel_year = '2024' and parcel_id = '21102111436');</v>
      </c>
    </row>
    <row r="251" spans="1:83" x14ac:dyDescent="0.25">
      <c r="A251">
        <v>21102111437</v>
      </c>
      <c r="B251">
        <v>0.16</v>
      </c>
      <c r="C251">
        <v>6788</v>
      </c>
      <c r="D251" t="s">
        <v>137</v>
      </c>
      <c r="E251" t="s">
        <v>54</v>
      </c>
      <c r="F251" t="s">
        <v>54</v>
      </c>
      <c r="G251">
        <v>3</v>
      </c>
      <c r="H251" t="s">
        <v>55</v>
      </c>
      <c r="I251">
        <v>152500</v>
      </c>
      <c r="J251">
        <v>26700</v>
      </c>
      <c r="K251">
        <v>0.16</v>
      </c>
      <c r="L25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51">
        <v>0</v>
      </c>
      <c r="N251">
        <v>0</v>
      </c>
      <c r="O251">
        <v>0</v>
      </c>
      <c r="P251">
        <v>47108.068500000001</v>
      </c>
      <c r="Q251">
        <v>122298</v>
      </c>
      <c r="R251">
        <f>(Granger_Inventory[[#This Row],[ln_acres]]*Granger_Inventory[[#This Row],[coeff]])+Granger_Inventory[[#This Row],[const]]</f>
        <v>35968.626873914327</v>
      </c>
      <c r="S251" t="s">
        <v>69</v>
      </c>
      <c r="T251">
        <v>1</v>
      </c>
      <c r="U251" t="s">
        <v>71</v>
      </c>
      <c r="V251" t="s">
        <v>79</v>
      </c>
      <c r="W251">
        <v>0</v>
      </c>
      <c r="X251">
        <v>0</v>
      </c>
      <c r="Y251">
        <v>51</v>
      </c>
      <c r="Z251">
        <v>78</v>
      </c>
      <c r="AA251">
        <v>80</v>
      </c>
      <c r="AB251">
        <v>1500</v>
      </c>
      <c r="AC251">
        <v>1316</v>
      </c>
      <c r="AD251">
        <v>1316</v>
      </c>
      <c r="AE251">
        <v>0</v>
      </c>
      <c r="AF251">
        <v>0</v>
      </c>
      <c r="AG251">
        <v>0</v>
      </c>
      <c r="AH251">
        <v>0</v>
      </c>
      <c r="AI251">
        <v>560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5</v>
      </c>
      <c r="AQ251">
        <v>0</v>
      </c>
      <c r="AR251">
        <v>0</v>
      </c>
      <c r="AS251" t="s">
        <v>81</v>
      </c>
      <c r="AT251">
        <v>1</v>
      </c>
      <c r="AU251" t="s">
        <v>60</v>
      </c>
      <c r="AV251" t="s">
        <v>61</v>
      </c>
      <c r="AW251">
        <v>0</v>
      </c>
      <c r="AX251">
        <v>3</v>
      </c>
      <c r="AY251">
        <v>0</v>
      </c>
      <c r="AZ251">
        <v>0</v>
      </c>
      <c r="BA251">
        <v>100</v>
      </c>
      <c r="BB251">
        <v>100</v>
      </c>
      <c r="BC251">
        <v>100</v>
      </c>
      <c r="BD251">
        <v>100</v>
      </c>
      <c r="BE251">
        <v>1</v>
      </c>
      <c r="BF251">
        <v>15000</v>
      </c>
      <c r="BG251">
        <v>1000</v>
      </c>
      <c r="BH251" s="8">
        <f>Granger_Inventory[[#This Row],[land_extract]]*Lookups!$B$3</f>
        <v>21427.618862498482</v>
      </c>
      <c r="BI251" s="8">
        <f>IF(Granger_Inventory[[#This Row],[bldg_style]]="",0,Lookups!$B$2)</f>
        <v>29703.559000000001</v>
      </c>
      <c r="BJ251" s="8">
        <f>_xlfn.IFNA(VLOOKUP(Granger_Inventory[[#This Row],[quality]],Lookups!$H$2:$J$14,3,FALSE),0)</f>
        <v>34195</v>
      </c>
      <c r="BK251" s="8">
        <f>_xlfn.IFNA(VLOOKUP(Granger_Inventory[[#This Row],[condition]],Lookups!$H$17:$J$24,3,FALSE),0)</f>
        <v>86727</v>
      </c>
      <c r="BL251" s="8">
        <f>Granger_Inventory[[#This Row],[Age]]*Lookups!$B$16</f>
        <v>-16171.825799999999</v>
      </c>
      <c r="BM251" s="8">
        <f>Granger_Inventory[[#This Row],[living_area]]*Lookups!$B$17</f>
        <v>88531.148243999996</v>
      </c>
      <c r="BN251" s="8">
        <f>(Granger_Inventory[[#This Row],[att_gar]]+Granger_Inventory[[#This Row],[blt_gar]])*Lookups!$B$18</f>
        <v>27130.648160000001</v>
      </c>
      <c r="BO251" s="8">
        <f>Granger_Inventory[[#This Row],[Patio]]*Lookups!$B$19</f>
        <v>0</v>
      </c>
      <c r="BP251" s="8">
        <f>SUM(Granger_Inventory[[#This Row],[Intercept]:[Patio_Value]])*Granger_Inventory[[#This Row],[res_pct]]</f>
        <v>250115.52960400001</v>
      </c>
      <c r="BQ251" s="8">
        <f>Granger_Inventory[[#This Row],[land_value]]</f>
        <v>21427.618862498482</v>
      </c>
      <c r="BR251" s="4">
        <f>_xlfn.IFNA(VLOOKUP(Granger_Inventory[[#This Row],[quality]],Lookups!$A$25:$C$35,3,FALSE),1)</f>
        <v>0.98258795897788032</v>
      </c>
      <c r="BS251" s="4">
        <f>_xlfn.IFNA(VLOOKUP(Granger_Inventory[[#This Row],[condition]],Lookups!$A$38:$C$45,3,FALSE),1)</f>
        <v>0.85322907131620684</v>
      </c>
      <c r="BT251" s="4">
        <f>IF(Granger_Inventory[[#This Row],[decade]]="",1,_xlfn.IFNA(VLOOKUP(Granger_Inventory[[#This Row],[decade]],Lookups!$G$28:$I$42,3,FALSE),1))</f>
        <v>0.76006056002554967</v>
      </c>
      <c r="BU251" s="4">
        <f>_xlfn.IFNA(VLOOKUP(Granger_Inventory[[#This Row],[living_area_range]],Lookups!$A$48:$C$57,3,FALSE),1)</f>
        <v>0.97960506760539345</v>
      </c>
      <c r="BV251" s="4">
        <f>AVERAGE(Granger_Inventory[[#This Row],[qual_adj]:[living_range_adj]])</f>
        <v>0.89387066448125763</v>
      </c>
      <c r="BW251" s="8">
        <f>(Granger_Inventory[[#This Row],[sum_land]]-IF(Granger_Inventory[[#This Row],[no_utilities]]=1,12000,0))/IF(Granger_Inventory[[#This Row],[unbuildable]]=1,2,1)</f>
        <v>21427.618862498482</v>
      </c>
      <c r="BX251" s="8">
        <f>Granger_Inventory[[#This Row],[pre_res]]*Granger_Inventory[[#This Row],[overall_adj]]</f>
        <v>223570.93464420916</v>
      </c>
      <c r="BY25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51">
        <f>ROUND(Granger_Inventory[[#This Row],[detatched_value]]*Lookups!$I$45,-2)</f>
        <v>0</v>
      </c>
      <c r="CA251">
        <f>IF(ROUND(Granger_Inventory[[#This Row],[adj_res]]*Lookups!$I$45,-2)&lt;Granger_Inventory[[#This Row],[min_res]],Granger_Inventory[[#This Row],[min_res]],ROUND(Granger_Inventory[[#This Row],[adj_res]]*Lookups!$I$45,-2))</f>
        <v>212400</v>
      </c>
      <c r="CB251">
        <f>Granger_Inventory[[#This Row],[final_det]]+Granger_Inventory[[#This Row],[final_res]]</f>
        <v>212400</v>
      </c>
      <c r="CC251">
        <f>Granger_Inventory[[#This Row],[final_land]]+Granger_Inventory[[#This Row],[final_imp]]+Granger_Inventory[[#This Row],[crop_value]]</f>
        <v>232800</v>
      </c>
      <c r="CE251" t="str">
        <f t="shared" si="3"/>
        <v>update valuation set market_land =20400, market_bldg=212400, market_total =232800, market_mdno =402, market_date ='9/10/2023' where link_id = (select link_id from parcel where parcel_year = '2024' and parcel_id = '21102111437');</v>
      </c>
    </row>
    <row r="252" spans="1:83" x14ac:dyDescent="0.25">
      <c r="A252">
        <v>21102111438</v>
      </c>
      <c r="B252">
        <v>0.14000000000000001</v>
      </c>
      <c r="C252" t="s">
        <v>137</v>
      </c>
      <c r="D252" t="s">
        <v>137</v>
      </c>
      <c r="E252" t="s">
        <v>54</v>
      </c>
      <c r="F252" t="s">
        <v>54</v>
      </c>
      <c r="G252">
        <v>3</v>
      </c>
      <c r="H252" t="s">
        <v>55</v>
      </c>
      <c r="I252">
        <v>119700</v>
      </c>
      <c r="J252">
        <v>25900</v>
      </c>
      <c r="K252">
        <v>0.14000000000000001</v>
      </c>
      <c r="L25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52">
        <v>0</v>
      </c>
      <c r="N252">
        <v>0</v>
      </c>
      <c r="O252">
        <v>0</v>
      </c>
      <c r="P252">
        <v>47108.068500000001</v>
      </c>
      <c r="Q252">
        <v>122298</v>
      </c>
      <c r="R252">
        <f>(Granger_Inventory[[#This Row],[ln_acres]]*Granger_Inventory[[#This Row],[coeff]])+Granger_Inventory[[#This Row],[const]]</f>
        <v>29678.220883257934</v>
      </c>
      <c r="S252" t="s">
        <v>62</v>
      </c>
      <c r="T252">
        <v>2</v>
      </c>
      <c r="U252" t="s">
        <v>78</v>
      </c>
      <c r="V252" t="s">
        <v>77</v>
      </c>
      <c r="W252">
        <v>0</v>
      </c>
      <c r="X252">
        <v>0</v>
      </c>
      <c r="Y252">
        <v>55</v>
      </c>
      <c r="Z252">
        <v>98</v>
      </c>
      <c r="AA252">
        <v>100</v>
      </c>
      <c r="AB252">
        <v>1500</v>
      </c>
      <c r="AC252">
        <v>1155</v>
      </c>
      <c r="AD252">
        <v>825</v>
      </c>
      <c r="AE252">
        <v>330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70</v>
      </c>
      <c r="AO252">
        <v>0</v>
      </c>
      <c r="AP252">
        <v>5</v>
      </c>
      <c r="AQ252">
        <v>0</v>
      </c>
      <c r="AR252">
        <v>0</v>
      </c>
      <c r="AS252" t="s">
        <v>139</v>
      </c>
      <c r="AT252">
        <v>1</v>
      </c>
      <c r="AU252" t="s">
        <v>68</v>
      </c>
      <c r="AV252" t="s">
        <v>65</v>
      </c>
      <c r="AW252">
        <v>0</v>
      </c>
      <c r="AX252">
        <v>4</v>
      </c>
      <c r="AY252">
        <v>0</v>
      </c>
      <c r="AZ252">
        <v>0</v>
      </c>
      <c r="BA252">
        <v>100</v>
      </c>
      <c r="BB252">
        <v>100</v>
      </c>
      <c r="BC252">
        <v>100</v>
      </c>
      <c r="BD252">
        <v>100</v>
      </c>
      <c r="BE252">
        <v>1</v>
      </c>
      <c r="BF252">
        <v>15000</v>
      </c>
      <c r="BG252">
        <v>1000</v>
      </c>
      <c r="BH252" s="8">
        <f>Granger_Inventory[[#This Row],[land_extract]]*Lookups!$B$3</f>
        <v>17680.230269359956</v>
      </c>
      <c r="BI252" s="8">
        <f>IF(Granger_Inventory[[#This Row],[bldg_style]]="",0,Lookups!$B$2)</f>
        <v>29703.559000000001</v>
      </c>
      <c r="BJ252" s="8">
        <f>_xlfn.IFNA(VLOOKUP(Granger_Inventory[[#This Row],[quality]],Lookups!$H$2:$J$14,3,FALSE),0)</f>
        <v>23737.786340274597</v>
      </c>
      <c r="BK252" s="8">
        <f>_xlfn.IFNA(VLOOKUP(Granger_Inventory[[#This Row],[condition]],Lookups!$H$17:$J$24,3,FALSE),0)</f>
        <v>33736</v>
      </c>
      <c r="BL252" s="8">
        <f>Granger_Inventory[[#This Row],[Age]]*Lookups!$B$16</f>
        <v>-20318.447799999998</v>
      </c>
      <c r="BM252" s="8">
        <f>Granger_Inventory[[#This Row],[living_area]]*Lookups!$B$17</f>
        <v>77700.209894999993</v>
      </c>
      <c r="BN252" s="8">
        <f>(Granger_Inventory[[#This Row],[att_gar]]+Granger_Inventory[[#This Row],[blt_gar]])*Lookups!$B$18</f>
        <v>0</v>
      </c>
      <c r="BO252" s="8">
        <f>Granger_Inventory[[#This Row],[Patio]]*Lookups!$B$19</f>
        <v>0</v>
      </c>
      <c r="BP252" s="8">
        <f>SUM(Granger_Inventory[[#This Row],[Intercept]:[Patio_Value]])*Granger_Inventory[[#This Row],[res_pct]]</f>
        <v>144559.10743527458</v>
      </c>
      <c r="BQ252" s="8">
        <f>Granger_Inventory[[#This Row],[land_value]]</f>
        <v>17680.230269359956</v>
      </c>
      <c r="BR252" s="4">
        <f>_xlfn.IFNA(VLOOKUP(Granger_Inventory[[#This Row],[quality]],Lookups!$A$25:$C$35,3,FALSE),1)</f>
        <v>0.77695375541795109</v>
      </c>
      <c r="BS252" s="4">
        <f>_xlfn.IFNA(VLOOKUP(Granger_Inventory[[#This Row],[condition]],Lookups!$A$38:$C$45,3,FALSE),1)</f>
        <v>0.92294678898076177</v>
      </c>
      <c r="BT252" s="4">
        <f>IF(Granger_Inventory[[#This Row],[decade]]="",1,_xlfn.IFNA(VLOOKUP(Granger_Inventory[[#This Row],[decade]],Lookups!$G$28:$I$42,3,FALSE),1))</f>
        <v>0.879441629375324</v>
      </c>
      <c r="BU252" s="4">
        <f>_xlfn.IFNA(VLOOKUP(Granger_Inventory[[#This Row],[living_area_range]],Lookups!$A$48:$C$57,3,FALSE),1)</f>
        <v>0.97960506760539345</v>
      </c>
      <c r="BV252" s="4">
        <f>AVERAGE(Granger_Inventory[[#This Row],[qual_adj]:[living_range_adj]])</f>
        <v>0.88973681034485752</v>
      </c>
      <c r="BW252" s="8">
        <f>(Granger_Inventory[[#This Row],[sum_land]]-IF(Granger_Inventory[[#This Row],[no_utilities]]=1,12000,0))/IF(Granger_Inventory[[#This Row],[unbuildable]]=1,2,1)</f>
        <v>17680.230269359956</v>
      </c>
      <c r="BX252" s="8">
        <f>Granger_Inventory[[#This Row],[pre_res]]*Granger_Inventory[[#This Row],[overall_adj]]</f>
        <v>128619.55915576078</v>
      </c>
      <c r="BY25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52">
        <f>ROUND(Granger_Inventory[[#This Row],[detatched_value]]*Lookups!$I$45,-2)</f>
        <v>0</v>
      </c>
      <c r="CA252">
        <f>IF(ROUND(Granger_Inventory[[#This Row],[adj_res]]*Lookups!$I$45,-2)&lt;Granger_Inventory[[#This Row],[min_res]],Granger_Inventory[[#This Row],[min_res]],ROUND(Granger_Inventory[[#This Row],[adj_res]]*Lookups!$I$45,-2))</f>
        <v>122200</v>
      </c>
      <c r="CB252">
        <f>Granger_Inventory[[#This Row],[final_det]]+Granger_Inventory[[#This Row],[final_res]]</f>
        <v>122200</v>
      </c>
      <c r="CC252">
        <f>Granger_Inventory[[#This Row],[final_land]]+Granger_Inventory[[#This Row],[final_imp]]+Granger_Inventory[[#This Row],[crop_value]]</f>
        <v>139000</v>
      </c>
      <c r="CE252" t="str">
        <f t="shared" si="3"/>
        <v>update valuation set market_land =16800, market_bldg=122200, market_total =139000, market_mdno =402, market_date ='9/10/2023' where link_id = (select link_id from parcel where parcel_year = '2024' and parcel_id = '21102111438');</v>
      </c>
    </row>
    <row r="253" spans="1:83" x14ac:dyDescent="0.25">
      <c r="A253">
        <v>21102111440</v>
      </c>
      <c r="B253">
        <v>0.11</v>
      </c>
      <c r="C253" t="s">
        <v>137</v>
      </c>
      <c r="D253" t="s">
        <v>137</v>
      </c>
      <c r="E253" t="s">
        <v>54</v>
      </c>
      <c r="F253" t="s">
        <v>54</v>
      </c>
      <c r="G253">
        <v>3</v>
      </c>
      <c r="H253" t="s">
        <v>55</v>
      </c>
      <c r="I253">
        <v>83500</v>
      </c>
      <c r="J253">
        <v>24500</v>
      </c>
      <c r="K253">
        <v>0.11</v>
      </c>
      <c r="L253">
        <f>IF(Granger_Inventory[[#This Row],[parcel_acres]]-Granger_Inventory[[#This Row],[non_valued_acres]] =0,0,LN(Granger_Inventory[[#This Row],[parcel_acres]]-Granger_Inventory[[#This Row],[non_valued_acres]]))</f>
        <v>-2.2072749131897207</v>
      </c>
      <c r="M253">
        <v>0</v>
      </c>
      <c r="N253">
        <v>0</v>
      </c>
      <c r="O253">
        <v>0</v>
      </c>
      <c r="P253">
        <v>47108.068500000001</v>
      </c>
      <c r="Q253">
        <v>122298</v>
      </c>
      <c r="R253">
        <f>(Granger_Inventory[[#This Row],[ln_acres]]*Granger_Inventory[[#This Row],[coeff]])+Granger_Inventory[[#This Row],[const]]</f>
        <v>18317.542191127082</v>
      </c>
      <c r="S253" t="s">
        <v>69</v>
      </c>
      <c r="T253">
        <v>1</v>
      </c>
      <c r="U253" t="s">
        <v>106</v>
      </c>
      <c r="V253" t="s">
        <v>77</v>
      </c>
      <c r="W253">
        <v>0</v>
      </c>
      <c r="X253">
        <v>0</v>
      </c>
      <c r="Y253">
        <v>56</v>
      </c>
      <c r="Z253">
        <v>100</v>
      </c>
      <c r="AA253">
        <v>100</v>
      </c>
      <c r="AB253">
        <v>1500</v>
      </c>
      <c r="AC253">
        <v>1057</v>
      </c>
      <c r="AD253">
        <v>1057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30</v>
      </c>
      <c r="AO253">
        <v>0</v>
      </c>
      <c r="AP253">
        <v>5</v>
      </c>
      <c r="AQ253">
        <v>0</v>
      </c>
      <c r="AR253">
        <v>0</v>
      </c>
      <c r="AS253" t="s">
        <v>139</v>
      </c>
      <c r="AT253">
        <v>1</v>
      </c>
      <c r="AU253" t="s">
        <v>76</v>
      </c>
      <c r="AV253" t="s">
        <v>65</v>
      </c>
      <c r="AW253">
        <v>0</v>
      </c>
      <c r="AX253">
        <v>3</v>
      </c>
      <c r="AY253">
        <v>0</v>
      </c>
      <c r="AZ253">
        <v>0</v>
      </c>
      <c r="BA253">
        <v>100</v>
      </c>
      <c r="BB253">
        <v>100</v>
      </c>
      <c r="BC253">
        <v>100</v>
      </c>
      <c r="BD253">
        <v>100</v>
      </c>
      <c r="BE253">
        <v>1</v>
      </c>
      <c r="BF253">
        <v>15000</v>
      </c>
      <c r="BG253">
        <v>1000</v>
      </c>
      <c r="BH253" s="8">
        <f>Granger_Inventory[[#This Row],[land_extract]]*Lookups!$B$3</f>
        <v>10912.32406355389</v>
      </c>
      <c r="BI253" s="8">
        <f>IF(Granger_Inventory[[#This Row],[bldg_style]]="",0,Lookups!$B$2)</f>
        <v>29703.559000000001</v>
      </c>
      <c r="BJ253" s="8">
        <f>_xlfn.IFNA(VLOOKUP(Granger_Inventory[[#This Row],[quality]],Lookups!$H$2:$J$14,3,FALSE),0)</f>
        <v>17985.540667792327</v>
      </c>
      <c r="BK253" s="8">
        <f>_xlfn.IFNA(VLOOKUP(Granger_Inventory[[#This Row],[condition]],Lookups!$H$17:$J$24,3,FALSE),0)</f>
        <v>33736</v>
      </c>
      <c r="BL253" s="8">
        <f>Granger_Inventory[[#This Row],[Age]]*Lookups!$B$16</f>
        <v>-20733.11</v>
      </c>
      <c r="BM253" s="8">
        <f>Granger_Inventory[[#This Row],[living_area]]*Lookups!$B$17</f>
        <v>71107.464812999999</v>
      </c>
      <c r="BN253" s="8">
        <f>(Granger_Inventory[[#This Row],[att_gar]]+Granger_Inventory[[#This Row],[blt_gar]])*Lookups!$B$18</f>
        <v>0</v>
      </c>
      <c r="BO253" s="8">
        <f>Granger_Inventory[[#This Row],[Patio]]*Lookups!$B$19</f>
        <v>0</v>
      </c>
      <c r="BP253" s="8">
        <f>SUM(Granger_Inventory[[#This Row],[Intercept]:[Patio_Value]])*Granger_Inventory[[#This Row],[res_pct]]</f>
        <v>131799.45448079234</v>
      </c>
      <c r="BQ253" s="8">
        <f>Granger_Inventory[[#This Row],[land_value]]</f>
        <v>10912.32406355389</v>
      </c>
      <c r="BR253" s="4">
        <f>_xlfn.IFNA(VLOOKUP(Granger_Inventory[[#This Row],[quality]],Lookups!$A$25:$C$35,3,FALSE),1)</f>
        <v>0.77695375541795109</v>
      </c>
      <c r="BS253" s="4">
        <f>_xlfn.IFNA(VLOOKUP(Granger_Inventory[[#This Row],[condition]],Lookups!$A$38:$C$45,3,FALSE),1)</f>
        <v>0.92294678898076177</v>
      </c>
      <c r="BT253" s="4">
        <f>IF(Granger_Inventory[[#This Row],[decade]]="",1,_xlfn.IFNA(VLOOKUP(Granger_Inventory[[#This Row],[decade]],Lookups!$G$28:$I$42,3,FALSE),1))</f>
        <v>0.879441629375324</v>
      </c>
      <c r="BU253" s="4">
        <f>_xlfn.IFNA(VLOOKUP(Granger_Inventory[[#This Row],[living_area_range]],Lookups!$A$48:$C$57,3,FALSE),1)</f>
        <v>0.97960506760539345</v>
      </c>
      <c r="BV253" s="4">
        <f>AVERAGE(Granger_Inventory[[#This Row],[qual_adj]:[living_range_adj]])</f>
        <v>0.88973681034485752</v>
      </c>
      <c r="BW253" s="8">
        <f>(Granger_Inventory[[#This Row],[sum_land]]-IF(Granger_Inventory[[#This Row],[no_utilities]]=1,12000,0))/IF(Granger_Inventory[[#This Row],[unbuildable]]=1,2,1)</f>
        <v>10912.32406355389</v>
      </c>
      <c r="BX253" s="8">
        <f>Granger_Inventory[[#This Row],[pre_res]]*Granger_Inventory[[#This Row],[overall_adj]]</f>
        <v>117266.82623493241</v>
      </c>
      <c r="BY253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253">
        <f>ROUND(Granger_Inventory[[#This Row],[detatched_value]]*Lookups!$I$45,-2)</f>
        <v>0</v>
      </c>
      <c r="CA253">
        <f>IF(ROUND(Granger_Inventory[[#This Row],[adj_res]]*Lookups!$I$45,-2)&lt;Granger_Inventory[[#This Row],[min_res]],Granger_Inventory[[#This Row],[min_res]],ROUND(Granger_Inventory[[#This Row],[adj_res]]*Lookups!$I$45,-2))</f>
        <v>111400</v>
      </c>
      <c r="CB253">
        <f>Granger_Inventory[[#This Row],[final_det]]+Granger_Inventory[[#This Row],[final_res]]</f>
        <v>111400</v>
      </c>
      <c r="CC253">
        <f>Granger_Inventory[[#This Row],[final_land]]+Granger_Inventory[[#This Row],[final_imp]]+Granger_Inventory[[#This Row],[crop_value]]</f>
        <v>126400</v>
      </c>
      <c r="CE253" t="str">
        <f t="shared" si="3"/>
        <v>update valuation set market_land =15000, market_bldg=111400, market_total =126400, market_mdno =402, market_date ='9/10/2023' where link_id = (select link_id from parcel where parcel_year = '2024' and parcel_id = '21102111440');</v>
      </c>
    </row>
    <row r="254" spans="1:83" x14ac:dyDescent="0.25">
      <c r="A254">
        <v>21102111451</v>
      </c>
      <c r="B254">
        <v>0.15</v>
      </c>
      <c r="C254">
        <v>6463</v>
      </c>
      <c r="D254" t="s">
        <v>137</v>
      </c>
      <c r="E254" t="s">
        <v>54</v>
      </c>
      <c r="F254" t="s">
        <v>54</v>
      </c>
      <c r="G254">
        <v>3</v>
      </c>
      <c r="H254" t="s">
        <v>55</v>
      </c>
      <c r="I254">
        <v>81700</v>
      </c>
      <c r="J254">
        <v>26300</v>
      </c>
      <c r="K254">
        <v>0.15</v>
      </c>
      <c r="L25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54">
        <v>0</v>
      </c>
      <c r="N254">
        <v>0</v>
      </c>
      <c r="O254">
        <v>0</v>
      </c>
      <c r="P254">
        <v>47108.068500000001</v>
      </c>
      <c r="Q254">
        <v>122298</v>
      </c>
      <c r="R254">
        <f>(Granger_Inventory[[#This Row],[ln_acres]]*Granger_Inventory[[#This Row],[coeff]])+Granger_Inventory[[#This Row],[const]]</f>
        <v>32928.341799276939</v>
      </c>
      <c r="S254" t="s">
        <v>69</v>
      </c>
      <c r="T254">
        <v>1</v>
      </c>
      <c r="U254" t="s">
        <v>71</v>
      </c>
      <c r="V254" t="s">
        <v>77</v>
      </c>
      <c r="W254">
        <v>0</v>
      </c>
      <c r="X254">
        <v>0</v>
      </c>
      <c r="Y254">
        <v>51</v>
      </c>
      <c r="Z254">
        <v>80</v>
      </c>
      <c r="AA254">
        <v>80</v>
      </c>
      <c r="AB254">
        <v>1000</v>
      </c>
      <c r="AC254">
        <v>988</v>
      </c>
      <c r="AD254">
        <v>988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276</v>
      </c>
      <c r="AL254">
        <v>0</v>
      </c>
      <c r="AM254">
        <v>72</v>
      </c>
      <c r="AN254">
        <v>130</v>
      </c>
      <c r="AO254">
        <v>72</v>
      </c>
      <c r="AP254">
        <v>5</v>
      </c>
      <c r="AQ254">
        <v>0</v>
      </c>
      <c r="AR254">
        <v>0</v>
      </c>
      <c r="AS254" t="s">
        <v>59</v>
      </c>
      <c r="AT254">
        <v>1</v>
      </c>
      <c r="AU254" t="s">
        <v>63</v>
      </c>
      <c r="AV254" t="s">
        <v>65</v>
      </c>
      <c r="AW254">
        <v>1</v>
      </c>
      <c r="AX254">
        <v>2</v>
      </c>
      <c r="AY254">
        <v>0</v>
      </c>
      <c r="AZ254">
        <v>0</v>
      </c>
      <c r="BA254">
        <v>100</v>
      </c>
      <c r="BB254">
        <v>100</v>
      </c>
      <c r="BC254">
        <v>100</v>
      </c>
      <c r="BD254">
        <v>100</v>
      </c>
      <c r="BE254">
        <v>1</v>
      </c>
      <c r="BF254">
        <v>15000</v>
      </c>
      <c r="BG254">
        <v>1000</v>
      </c>
      <c r="BH254" s="8">
        <f>Granger_Inventory[[#This Row],[land_extract]]*Lookups!$B$3</f>
        <v>19616.42740275669</v>
      </c>
      <c r="BI254" s="8">
        <f>IF(Granger_Inventory[[#This Row],[bldg_style]]="",0,Lookups!$B$2)</f>
        <v>29703.559000000001</v>
      </c>
      <c r="BJ254" s="8">
        <f>_xlfn.IFNA(VLOOKUP(Granger_Inventory[[#This Row],[quality]],Lookups!$H$2:$J$14,3,FALSE),0)</f>
        <v>34195</v>
      </c>
      <c r="BK254" s="8">
        <f>_xlfn.IFNA(VLOOKUP(Granger_Inventory[[#This Row],[condition]],Lookups!$H$17:$J$24,3,FALSE),0)</f>
        <v>33736</v>
      </c>
      <c r="BL254" s="8">
        <f>Granger_Inventory[[#This Row],[Age]]*Lookups!$B$16</f>
        <v>-16586.487999999998</v>
      </c>
      <c r="BM254" s="8">
        <f>Granger_Inventory[[#This Row],[living_area]]*Lookups!$B$17</f>
        <v>66465.634091999993</v>
      </c>
      <c r="BN254" s="8">
        <f>(Granger_Inventory[[#This Row],[att_gar]]+Granger_Inventory[[#This Row],[blt_gar]])*Lookups!$B$18</f>
        <v>0</v>
      </c>
      <c r="BO254" s="8">
        <f>Granger_Inventory[[#This Row],[Patio]]*Lookups!$B$19</f>
        <v>3910.6869119999997</v>
      </c>
      <c r="BP254" s="8">
        <f>SUM(Granger_Inventory[[#This Row],[Intercept]:[Patio_Value]])*Granger_Inventory[[#This Row],[res_pct]]</f>
        <v>151424.39200400002</v>
      </c>
      <c r="BQ254" s="8">
        <f>Granger_Inventory[[#This Row],[land_value]]</f>
        <v>19616.42740275669</v>
      </c>
      <c r="BR254" s="4">
        <f>_xlfn.IFNA(VLOOKUP(Granger_Inventory[[#This Row],[quality]],Lookups!$A$25:$C$35,3,FALSE),1)</f>
        <v>0.98258795897788032</v>
      </c>
      <c r="BS254" s="4">
        <f>_xlfn.IFNA(VLOOKUP(Granger_Inventory[[#This Row],[condition]],Lookups!$A$38:$C$45,3,FALSE),1)</f>
        <v>0.92294678898076177</v>
      </c>
      <c r="BT254" s="4">
        <f>IF(Granger_Inventory[[#This Row],[decade]]="",1,_xlfn.IFNA(VLOOKUP(Granger_Inventory[[#This Row],[decade]],Lookups!$G$28:$I$42,3,FALSE),1))</f>
        <v>0.76006056002554967</v>
      </c>
      <c r="BU254" s="4">
        <f>_xlfn.IFNA(VLOOKUP(Granger_Inventory[[#This Row],[living_area_range]],Lookups!$A$48:$C$57,3,FALSE),1)</f>
        <v>0.81272404900450645</v>
      </c>
      <c r="BV254" s="4">
        <f>AVERAGE(Granger_Inventory[[#This Row],[qual_adj]:[living_range_adj]])</f>
        <v>0.86957983924717452</v>
      </c>
      <c r="BW254" s="8">
        <f>(Granger_Inventory[[#This Row],[sum_land]]-IF(Granger_Inventory[[#This Row],[no_utilities]]=1,12000,0))/IF(Granger_Inventory[[#This Row],[unbuildable]]=1,2,1)</f>
        <v>19616.42740275669</v>
      </c>
      <c r="BX254" s="8">
        <f>Granger_Inventory[[#This Row],[pre_res]]*Granger_Inventory[[#This Row],[overall_adj]]</f>
        <v>131675.59845693948</v>
      </c>
      <c r="BY25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54">
        <f>ROUND(Granger_Inventory[[#This Row],[detatched_value]]*Lookups!$I$45,-2)</f>
        <v>0</v>
      </c>
      <c r="CA254">
        <f>IF(ROUND(Granger_Inventory[[#This Row],[adj_res]]*Lookups!$I$45,-2)&lt;Granger_Inventory[[#This Row],[min_res]],Granger_Inventory[[#This Row],[min_res]],ROUND(Granger_Inventory[[#This Row],[adj_res]]*Lookups!$I$45,-2))</f>
        <v>125100</v>
      </c>
      <c r="CB254">
        <f>Granger_Inventory[[#This Row],[final_det]]+Granger_Inventory[[#This Row],[final_res]]</f>
        <v>125100</v>
      </c>
      <c r="CC254">
        <f>Granger_Inventory[[#This Row],[final_land]]+Granger_Inventory[[#This Row],[final_imp]]+Granger_Inventory[[#This Row],[crop_value]]</f>
        <v>143700</v>
      </c>
      <c r="CE254" t="str">
        <f t="shared" si="3"/>
        <v>update valuation set market_land =18600, market_bldg=125100, market_total =143700, market_mdno =402, market_date ='9/10/2023' where link_id = (select link_id from parcel where parcel_year = '2024' and parcel_id = '21102111451');</v>
      </c>
    </row>
    <row r="255" spans="1:83" x14ac:dyDescent="0.25">
      <c r="A255">
        <v>21102111452</v>
      </c>
      <c r="B255">
        <v>0.16</v>
      </c>
      <c r="C255">
        <v>6769</v>
      </c>
      <c r="D255" t="s">
        <v>137</v>
      </c>
      <c r="E255" t="s">
        <v>54</v>
      </c>
      <c r="F255" t="s">
        <v>54</v>
      </c>
      <c r="G255">
        <v>3</v>
      </c>
      <c r="H255" t="s">
        <v>55</v>
      </c>
      <c r="I255">
        <v>109600</v>
      </c>
      <c r="J255">
        <v>26700</v>
      </c>
      <c r="K255">
        <v>0.16</v>
      </c>
      <c r="L255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55">
        <v>0</v>
      </c>
      <c r="N255">
        <v>0</v>
      </c>
      <c r="O255">
        <v>0</v>
      </c>
      <c r="P255">
        <v>47108.068500000001</v>
      </c>
      <c r="Q255">
        <v>122298</v>
      </c>
      <c r="R255">
        <f>(Granger_Inventory[[#This Row],[ln_acres]]*Granger_Inventory[[#This Row],[coeff]])+Granger_Inventory[[#This Row],[const]]</f>
        <v>35968.626873914327</v>
      </c>
      <c r="S255" t="s">
        <v>69</v>
      </c>
      <c r="T255">
        <v>1</v>
      </c>
      <c r="U255" t="s">
        <v>71</v>
      </c>
      <c r="V255" t="s">
        <v>77</v>
      </c>
      <c r="W255">
        <v>0</v>
      </c>
      <c r="X255">
        <v>0</v>
      </c>
      <c r="Y255">
        <v>49</v>
      </c>
      <c r="Z255">
        <v>68</v>
      </c>
      <c r="AA255">
        <v>70</v>
      </c>
      <c r="AB255">
        <v>1500</v>
      </c>
      <c r="AC255">
        <v>1050</v>
      </c>
      <c r="AD255">
        <v>1050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504</v>
      </c>
      <c r="AN255">
        <v>0</v>
      </c>
      <c r="AO255">
        <v>0</v>
      </c>
      <c r="AP255">
        <v>5</v>
      </c>
      <c r="AQ255">
        <v>0</v>
      </c>
      <c r="AR255">
        <v>1</v>
      </c>
      <c r="AS255" t="s">
        <v>59</v>
      </c>
      <c r="AT255">
        <v>1</v>
      </c>
      <c r="AU255" t="s">
        <v>68</v>
      </c>
      <c r="AV255" t="s">
        <v>65</v>
      </c>
      <c r="AW255">
        <v>0</v>
      </c>
      <c r="AX255">
        <v>3</v>
      </c>
      <c r="AY255">
        <v>0</v>
      </c>
      <c r="AZ255">
        <v>0</v>
      </c>
      <c r="BA255">
        <v>100</v>
      </c>
      <c r="BB255">
        <v>100</v>
      </c>
      <c r="BC255">
        <v>100</v>
      </c>
      <c r="BD255">
        <v>100</v>
      </c>
      <c r="BE255">
        <v>1</v>
      </c>
      <c r="BF255">
        <v>15000</v>
      </c>
      <c r="BG255">
        <v>1000</v>
      </c>
      <c r="BH255" s="8">
        <f>Granger_Inventory[[#This Row],[land_extract]]*Lookups!$B$3</f>
        <v>21427.618862498482</v>
      </c>
      <c r="BI255" s="8">
        <f>IF(Granger_Inventory[[#This Row],[bldg_style]]="",0,Lookups!$B$2)</f>
        <v>29703.559000000001</v>
      </c>
      <c r="BJ255" s="8">
        <f>_xlfn.IFNA(VLOOKUP(Granger_Inventory[[#This Row],[quality]],Lookups!$H$2:$J$14,3,FALSE),0)</f>
        <v>34195</v>
      </c>
      <c r="BK255" s="8">
        <f>_xlfn.IFNA(VLOOKUP(Granger_Inventory[[#This Row],[condition]],Lookups!$H$17:$J$24,3,FALSE),0)</f>
        <v>33736</v>
      </c>
      <c r="BL255" s="8">
        <f>Granger_Inventory[[#This Row],[Age]]*Lookups!$B$16</f>
        <v>-14098.514799999999</v>
      </c>
      <c r="BM255" s="8">
        <f>Granger_Inventory[[#This Row],[living_area]]*Lookups!$B$17</f>
        <v>70636.554449999996</v>
      </c>
      <c r="BN255" s="8">
        <f>(Granger_Inventory[[#This Row],[att_gar]]+Granger_Inventory[[#This Row],[blt_gar]])*Lookups!$B$18</f>
        <v>0</v>
      </c>
      <c r="BO255" s="8">
        <f>Granger_Inventory[[#This Row],[Patio]]*Lookups!$B$19</f>
        <v>27374.808384</v>
      </c>
      <c r="BP255" s="8">
        <f>SUM(Granger_Inventory[[#This Row],[Intercept]:[Patio_Value]])*Granger_Inventory[[#This Row],[res_pct]]</f>
        <v>181547.407034</v>
      </c>
      <c r="BQ255" s="8">
        <f>Granger_Inventory[[#This Row],[land_value]]</f>
        <v>21427.618862498482</v>
      </c>
      <c r="BR255" s="4">
        <f>_xlfn.IFNA(VLOOKUP(Granger_Inventory[[#This Row],[quality]],Lookups!$A$25:$C$35,3,FALSE),1)</f>
        <v>0.98258795897788032</v>
      </c>
      <c r="BS255" s="4">
        <f>_xlfn.IFNA(VLOOKUP(Granger_Inventory[[#This Row],[condition]],Lookups!$A$38:$C$45,3,FALSE),1)</f>
        <v>0.92294678898076177</v>
      </c>
      <c r="BT255" s="4">
        <f>IF(Granger_Inventory[[#This Row],[decade]]="",1,_xlfn.IFNA(VLOOKUP(Granger_Inventory[[#This Row],[decade]],Lookups!$G$28:$I$42,3,FALSE),1))</f>
        <v>1.0270382440255921</v>
      </c>
      <c r="BU255" s="4">
        <f>_xlfn.IFNA(VLOOKUP(Granger_Inventory[[#This Row],[living_area_range]],Lookups!$A$48:$C$57,3,FALSE),1)</f>
        <v>0.97960506760539345</v>
      </c>
      <c r="BV255" s="4">
        <f>AVERAGE(Granger_Inventory[[#This Row],[qual_adj]:[living_range_adj]])</f>
        <v>0.97804451489740685</v>
      </c>
      <c r="BW255" s="8">
        <f>(Granger_Inventory[[#This Row],[sum_land]]-IF(Granger_Inventory[[#This Row],[no_utilities]]=1,12000,0))/IF(Granger_Inventory[[#This Row],[unbuildable]]=1,2,1)</f>
        <v>21427.618862498482</v>
      </c>
      <c r="BX255" s="8">
        <f>Granger_Inventory[[#This Row],[pre_res]]*Granger_Inventory[[#This Row],[overall_adj]]</f>
        <v>177561.4456434506</v>
      </c>
      <c r="BY255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55">
        <f>ROUND(Granger_Inventory[[#This Row],[detatched_value]]*Lookups!$I$45,-2)</f>
        <v>0</v>
      </c>
      <c r="CA255">
        <f>IF(ROUND(Granger_Inventory[[#This Row],[adj_res]]*Lookups!$I$45,-2)&lt;Granger_Inventory[[#This Row],[min_res]],Granger_Inventory[[#This Row],[min_res]],ROUND(Granger_Inventory[[#This Row],[adj_res]]*Lookups!$I$45,-2))</f>
        <v>168700</v>
      </c>
      <c r="CB255">
        <f>Granger_Inventory[[#This Row],[final_det]]+Granger_Inventory[[#This Row],[final_res]]</f>
        <v>168700</v>
      </c>
      <c r="CC255">
        <f>Granger_Inventory[[#This Row],[final_land]]+Granger_Inventory[[#This Row],[final_imp]]+Granger_Inventory[[#This Row],[crop_value]]</f>
        <v>189100</v>
      </c>
      <c r="CE255" t="str">
        <f t="shared" si="3"/>
        <v>update valuation set market_land =20400, market_bldg=168700, market_total =189100, market_mdno =402, market_date ='9/10/2023' where link_id = (select link_id from parcel where parcel_year = '2024' and parcel_id = '21102111452');</v>
      </c>
    </row>
    <row r="256" spans="1:83" x14ac:dyDescent="0.25">
      <c r="A256">
        <v>21102111454</v>
      </c>
      <c r="B256">
        <v>0.14000000000000001</v>
      </c>
      <c r="C256" t="s">
        <v>137</v>
      </c>
      <c r="D256" t="s">
        <v>137</v>
      </c>
      <c r="E256" t="s">
        <v>54</v>
      </c>
      <c r="F256" t="s">
        <v>54</v>
      </c>
      <c r="G256">
        <v>3</v>
      </c>
      <c r="H256" t="s">
        <v>55</v>
      </c>
      <c r="I256">
        <v>10200</v>
      </c>
      <c r="J256">
        <v>25900</v>
      </c>
      <c r="K256">
        <v>0.14000000000000001</v>
      </c>
      <c r="L25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56">
        <v>0</v>
      </c>
      <c r="N256">
        <v>0</v>
      </c>
      <c r="O256">
        <v>0</v>
      </c>
      <c r="P256">
        <v>47108.068500000001</v>
      </c>
      <c r="Q256">
        <v>122298</v>
      </c>
      <c r="R256">
        <f>(Granger_Inventory[[#This Row],[ln_acres]]*Granger_Inventory[[#This Row],[coeff]])+Granger_Inventory[[#This Row],[const]]</f>
        <v>29678.220883257934</v>
      </c>
      <c r="S256" t="s">
        <v>69</v>
      </c>
      <c r="T256">
        <v>1</v>
      </c>
      <c r="U256" t="s">
        <v>78</v>
      </c>
      <c r="V256" t="s">
        <v>79</v>
      </c>
      <c r="W256">
        <v>0</v>
      </c>
      <c r="X256">
        <v>0</v>
      </c>
      <c r="Y256">
        <v>50</v>
      </c>
      <c r="Z256">
        <v>73</v>
      </c>
      <c r="AA256">
        <v>80</v>
      </c>
      <c r="AB256">
        <v>1000</v>
      </c>
      <c r="AC256">
        <v>650</v>
      </c>
      <c r="AD256">
        <v>650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5</v>
      </c>
      <c r="AQ256">
        <v>0</v>
      </c>
      <c r="AR256">
        <v>0</v>
      </c>
      <c r="AS256" t="s">
        <v>59</v>
      </c>
      <c r="AT256">
        <v>1</v>
      </c>
      <c r="AU256" t="s">
        <v>76</v>
      </c>
      <c r="AV256" t="s">
        <v>65</v>
      </c>
      <c r="AW256">
        <v>0</v>
      </c>
      <c r="AX256">
        <v>1</v>
      </c>
      <c r="AY256">
        <v>0</v>
      </c>
      <c r="AZ256">
        <v>0</v>
      </c>
      <c r="BA256">
        <v>100</v>
      </c>
      <c r="BB256">
        <v>100</v>
      </c>
      <c r="BC256">
        <v>100</v>
      </c>
      <c r="BD256">
        <v>100</v>
      </c>
      <c r="BE256">
        <v>1</v>
      </c>
      <c r="BF256">
        <v>15000</v>
      </c>
      <c r="BG256">
        <v>1000</v>
      </c>
      <c r="BH256" s="8">
        <f>Granger_Inventory[[#This Row],[land_extract]]*Lookups!$B$3</f>
        <v>17680.230269359956</v>
      </c>
      <c r="BI256" s="8">
        <f>IF(Granger_Inventory[[#This Row],[bldg_style]]="",0,Lookups!$B$2)</f>
        <v>29703.559000000001</v>
      </c>
      <c r="BJ256" s="8">
        <f>_xlfn.IFNA(VLOOKUP(Granger_Inventory[[#This Row],[quality]],Lookups!$H$2:$J$14,3,FALSE),0)</f>
        <v>23737.786340274597</v>
      </c>
      <c r="BK256" s="8">
        <f>_xlfn.IFNA(VLOOKUP(Granger_Inventory[[#This Row],[condition]],Lookups!$H$17:$J$24,3,FALSE),0)</f>
        <v>86727</v>
      </c>
      <c r="BL256" s="8">
        <f>Granger_Inventory[[#This Row],[Age]]*Lookups!$B$16</f>
        <v>-15135.1703</v>
      </c>
      <c r="BM256" s="8">
        <f>Granger_Inventory[[#This Row],[living_area]]*Lookups!$B$17</f>
        <v>43727.390849999996</v>
      </c>
      <c r="BN256" s="8">
        <f>(Granger_Inventory[[#This Row],[att_gar]]+Granger_Inventory[[#This Row],[blt_gar]])*Lookups!$B$18</f>
        <v>0</v>
      </c>
      <c r="BO256" s="8">
        <f>Granger_Inventory[[#This Row],[Patio]]*Lookups!$B$19</f>
        <v>0</v>
      </c>
      <c r="BP256" s="8">
        <f>SUM(Granger_Inventory[[#This Row],[Intercept]:[Patio_Value]])*Granger_Inventory[[#This Row],[res_pct]]</f>
        <v>168760.56589027459</v>
      </c>
      <c r="BQ256" s="8">
        <f>Granger_Inventory[[#This Row],[land_value]]</f>
        <v>17680.230269359956</v>
      </c>
      <c r="BR256" s="4">
        <f>_xlfn.IFNA(VLOOKUP(Granger_Inventory[[#This Row],[quality]],Lookups!$A$25:$C$35,3,FALSE),1)</f>
        <v>0.77695375541795109</v>
      </c>
      <c r="BS256" s="4">
        <f>_xlfn.IFNA(VLOOKUP(Granger_Inventory[[#This Row],[condition]],Lookups!$A$38:$C$45,3,FALSE),1)</f>
        <v>0.85322907131620684</v>
      </c>
      <c r="BT256" s="4">
        <f>IF(Granger_Inventory[[#This Row],[decade]]="",1,_xlfn.IFNA(VLOOKUP(Granger_Inventory[[#This Row],[decade]],Lookups!$G$28:$I$42,3,FALSE),1))</f>
        <v>0.76006056002554967</v>
      </c>
      <c r="BU256" s="4">
        <f>_xlfn.IFNA(VLOOKUP(Granger_Inventory[[#This Row],[living_area_range]],Lookups!$A$48:$C$57,3,FALSE),1)</f>
        <v>0.81272404900450645</v>
      </c>
      <c r="BV256" s="4">
        <f>AVERAGE(Granger_Inventory[[#This Row],[qual_adj]:[living_range_adj]])</f>
        <v>0.80074185894105354</v>
      </c>
      <c r="BW256" s="8">
        <f>(Granger_Inventory[[#This Row],[sum_land]]-IF(Granger_Inventory[[#This Row],[no_utilities]]=1,12000,0))/IF(Granger_Inventory[[#This Row],[unbuildable]]=1,2,1)</f>
        <v>17680.230269359956</v>
      </c>
      <c r="BX256" s="8">
        <f>Granger_Inventory[[#This Row],[pre_res]]*Granger_Inventory[[#This Row],[overall_adj]]</f>
        <v>135133.64924692264</v>
      </c>
      <c r="BY25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56">
        <f>ROUND(Granger_Inventory[[#This Row],[detatched_value]]*Lookups!$I$45,-2)</f>
        <v>0</v>
      </c>
      <c r="CA256">
        <f>IF(ROUND(Granger_Inventory[[#This Row],[adj_res]]*Lookups!$I$45,-2)&lt;Granger_Inventory[[#This Row],[min_res]],Granger_Inventory[[#This Row],[min_res]],ROUND(Granger_Inventory[[#This Row],[adj_res]]*Lookups!$I$45,-2))</f>
        <v>128400</v>
      </c>
      <c r="CB256">
        <f>Granger_Inventory[[#This Row],[final_det]]+Granger_Inventory[[#This Row],[final_res]]</f>
        <v>128400</v>
      </c>
      <c r="CC256">
        <f>Granger_Inventory[[#This Row],[final_land]]+Granger_Inventory[[#This Row],[final_imp]]+Granger_Inventory[[#This Row],[crop_value]]</f>
        <v>145200</v>
      </c>
      <c r="CE256" t="str">
        <f t="shared" si="3"/>
        <v>update valuation set market_land =16800, market_bldg=128400, market_total =145200, market_mdno =402, market_date ='9/10/2023' where link_id = (select link_id from parcel where parcel_year = '2024' and parcel_id = '21102111454');</v>
      </c>
    </row>
    <row r="257" spans="1:83" x14ac:dyDescent="0.25">
      <c r="A257">
        <v>21102111455</v>
      </c>
      <c r="B257">
        <v>0.14000000000000001</v>
      </c>
      <c r="C257">
        <v>5861</v>
      </c>
      <c r="D257" t="s">
        <v>137</v>
      </c>
      <c r="E257" t="s">
        <v>54</v>
      </c>
      <c r="F257" t="s">
        <v>54</v>
      </c>
      <c r="G257">
        <v>3</v>
      </c>
      <c r="H257" t="s">
        <v>55</v>
      </c>
      <c r="I257">
        <v>0</v>
      </c>
      <c r="J257">
        <v>25500</v>
      </c>
      <c r="K257">
        <v>0.14000000000000001</v>
      </c>
      <c r="L25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57">
        <v>0</v>
      </c>
      <c r="N257">
        <v>0</v>
      </c>
      <c r="O257">
        <v>0</v>
      </c>
      <c r="P257">
        <v>47108.068500000001</v>
      </c>
      <c r="Q257">
        <v>122298</v>
      </c>
      <c r="R257">
        <f>(Granger_Inventory[[#This Row],[ln_acres]]*Granger_Inventory[[#This Row],[coeff]])+Granger_Inventory[[#This Row],[const]]</f>
        <v>29678.220883257934</v>
      </c>
      <c r="S257" t="s">
        <v>69</v>
      </c>
      <c r="T257">
        <v>1</v>
      </c>
      <c r="U257" t="s">
        <v>78</v>
      </c>
      <c r="V257" t="s">
        <v>79</v>
      </c>
      <c r="W257">
        <v>0</v>
      </c>
      <c r="X257">
        <v>0</v>
      </c>
      <c r="Y257">
        <v>55</v>
      </c>
      <c r="Z257">
        <v>98</v>
      </c>
      <c r="AA257">
        <v>100</v>
      </c>
      <c r="AB257">
        <v>500</v>
      </c>
      <c r="AC257">
        <v>484</v>
      </c>
      <c r="AD257">
        <v>484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364</v>
      </c>
      <c r="AL257">
        <v>0</v>
      </c>
      <c r="AM257">
        <v>0</v>
      </c>
      <c r="AN257">
        <v>0</v>
      </c>
      <c r="AO257">
        <v>60</v>
      </c>
      <c r="AP257">
        <v>5</v>
      </c>
      <c r="AQ257">
        <v>0</v>
      </c>
      <c r="AR257">
        <v>0</v>
      </c>
      <c r="AS257" t="s">
        <v>59</v>
      </c>
      <c r="AT257">
        <v>1</v>
      </c>
      <c r="AU257" t="s">
        <v>76</v>
      </c>
      <c r="AV257" t="s">
        <v>65</v>
      </c>
      <c r="AW257">
        <v>0</v>
      </c>
      <c r="AX257">
        <v>1</v>
      </c>
      <c r="AY257">
        <v>0</v>
      </c>
      <c r="AZ257">
        <v>0</v>
      </c>
      <c r="BA257">
        <v>100</v>
      </c>
      <c r="BB257">
        <v>100</v>
      </c>
      <c r="BC257">
        <v>100</v>
      </c>
      <c r="BD257">
        <v>100</v>
      </c>
      <c r="BE257">
        <v>1</v>
      </c>
      <c r="BF257">
        <v>15000</v>
      </c>
      <c r="BG257">
        <v>1000</v>
      </c>
      <c r="BH257" s="8">
        <f>Granger_Inventory[[#This Row],[land_extract]]*Lookups!$B$3</f>
        <v>17680.230269359956</v>
      </c>
      <c r="BI257" s="8">
        <f>IF(Granger_Inventory[[#This Row],[bldg_style]]="",0,Lookups!$B$2)</f>
        <v>29703.559000000001</v>
      </c>
      <c r="BJ257" s="8">
        <f>_xlfn.IFNA(VLOOKUP(Granger_Inventory[[#This Row],[quality]],Lookups!$H$2:$J$14,3,FALSE),0)</f>
        <v>23737.786340274597</v>
      </c>
      <c r="BK257" s="8">
        <f>_xlfn.IFNA(VLOOKUP(Granger_Inventory[[#This Row],[condition]],Lookups!$H$17:$J$24,3,FALSE),0)</f>
        <v>86727</v>
      </c>
      <c r="BL257" s="8">
        <f>Granger_Inventory[[#This Row],[Age]]*Lookups!$B$16</f>
        <v>-20318.447799999998</v>
      </c>
      <c r="BM257" s="8">
        <f>Granger_Inventory[[#This Row],[living_area]]*Lookups!$B$17</f>
        <v>32560.087955999999</v>
      </c>
      <c r="BN257" s="8">
        <f>(Granger_Inventory[[#This Row],[att_gar]]+Granger_Inventory[[#This Row],[blt_gar]])*Lookups!$B$18</f>
        <v>0</v>
      </c>
      <c r="BO257" s="8">
        <f>Granger_Inventory[[#This Row],[Patio]]*Lookups!$B$19</f>
        <v>0</v>
      </c>
      <c r="BP257" s="8">
        <f>SUM(Granger_Inventory[[#This Row],[Intercept]:[Patio_Value]])*Granger_Inventory[[#This Row],[res_pct]]</f>
        <v>152409.9854962746</v>
      </c>
      <c r="BQ257" s="8">
        <f>Granger_Inventory[[#This Row],[land_value]]</f>
        <v>17680.230269359956</v>
      </c>
      <c r="BR257" s="4">
        <f>_xlfn.IFNA(VLOOKUP(Granger_Inventory[[#This Row],[quality]],Lookups!$A$25:$C$35,3,FALSE),1)</f>
        <v>0.77695375541795109</v>
      </c>
      <c r="BS257" s="4">
        <f>_xlfn.IFNA(VLOOKUP(Granger_Inventory[[#This Row],[condition]],Lookups!$A$38:$C$45,3,FALSE),1)</f>
        <v>0.85322907131620684</v>
      </c>
      <c r="BT257" s="4">
        <f>IF(Granger_Inventory[[#This Row],[decade]]="",1,_xlfn.IFNA(VLOOKUP(Granger_Inventory[[#This Row],[decade]],Lookups!$G$28:$I$42,3,FALSE),1))</f>
        <v>0.879441629375324</v>
      </c>
      <c r="BU257" s="4">
        <f>_xlfn.IFNA(VLOOKUP(Granger_Inventory[[#This Row],[living_area_range]],Lookups!$A$48:$C$57,3,FALSE),1)</f>
        <v>0.81272404900450645</v>
      </c>
      <c r="BV257" s="4">
        <f>AVERAGE(Granger_Inventory[[#This Row],[qual_adj]:[living_range_adj]])</f>
        <v>0.83058712627849718</v>
      </c>
      <c r="BW257" s="8">
        <f>(Granger_Inventory[[#This Row],[sum_land]]-IF(Granger_Inventory[[#This Row],[no_utilities]]=1,12000,0))/IF(Granger_Inventory[[#This Row],[unbuildable]]=1,2,1)</f>
        <v>17680.230269359956</v>
      </c>
      <c r="BX257" s="8">
        <f>Granger_Inventory[[#This Row],[pre_res]]*Granger_Inventory[[#This Row],[overall_adj]]</f>
        <v>126589.77186949816</v>
      </c>
      <c r="BY25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57">
        <f>ROUND(Granger_Inventory[[#This Row],[detatched_value]]*Lookups!$I$45,-2)</f>
        <v>0</v>
      </c>
      <c r="CA257">
        <f>IF(ROUND(Granger_Inventory[[#This Row],[adj_res]]*Lookups!$I$45,-2)&lt;Granger_Inventory[[#This Row],[min_res]],Granger_Inventory[[#This Row],[min_res]],ROUND(Granger_Inventory[[#This Row],[adj_res]]*Lookups!$I$45,-2))</f>
        <v>120300</v>
      </c>
      <c r="CB257">
        <f>Granger_Inventory[[#This Row],[final_det]]+Granger_Inventory[[#This Row],[final_res]]</f>
        <v>120300</v>
      </c>
      <c r="CC257">
        <f>Granger_Inventory[[#This Row],[final_land]]+Granger_Inventory[[#This Row],[final_imp]]+Granger_Inventory[[#This Row],[crop_value]]</f>
        <v>137100</v>
      </c>
      <c r="CE257" t="str">
        <f t="shared" si="3"/>
        <v>update valuation set market_land =16800, market_bldg=120300, market_total =137100, market_mdno =402, market_date ='9/10/2023' where link_id = (select link_id from parcel where parcel_year = '2024' and parcel_id = '21102111455');</v>
      </c>
    </row>
    <row r="258" spans="1:83" x14ac:dyDescent="0.25">
      <c r="A258">
        <v>21102111464</v>
      </c>
      <c r="B258">
        <v>0.3</v>
      </c>
      <c r="C258">
        <v>13075</v>
      </c>
      <c r="D258" t="s">
        <v>137</v>
      </c>
      <c r="E258" t="s">
        <v>54</v>
      </c>
      <c r="F258" t="s">
        <v>54</v>
      </c>
      <c r="G258">
        <v>3</v>
      </c>
      <c r="H258" t="s">
        <v>55</v>
      </c>
      <c r="I258">
        <v>70200</v>
      </c>
      <c r="J258">
        <v>30400</v>
      </c>
      <c r="K258">
        <v>0.3</v>
      </c>
      <c r="L258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258">
        <v>0</v>
      </c>
      <c r="N258">
        <v>0</v>
      </c>
      <c r="O258">
        <v>0</v>
      </c>
      <c r="P258">
        <v>47108.068500000001</v>
      </c>
      <c r="Q258">
        <v>122298</v>
      </c>
      <c r="R258">
        <f>(Granger_Inventory[[#This Row],[ln_acres]]*Granger_Inventory[[#This Row],[coeff]])+Granger_Inventory[[#This Row],[const]]</f>
        <v>65581.166661676703</v>
      </c>
      <c r="S258" t="s">
        <v>56</v>
      </c>
      <c r="T258">
        <v>1</v>
      </c>
      <c r="U258" t="s">
        <v>78</v>
      </c>
      <c r="V258" t="s">
        <v>77</v>
      </c>
      <c r="W258">
        <v>0</v>
      </c>
      <c r="X258">
        <v>0</v>
      </c>
      <c r="Y258">
        <v>50</v>
      </c>
      <c r="Z258">
        <v>73</v>
      </c>
      <c r="AA258">
        <v>80</v>
      </c>
      <c r="AB258">
        <v>1000</v>
      </c>
      <c r="AC258">
        <v>904</v>
      </c>
      <c r="AD258">
        <v>904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495</v>
      </c>
      <c r="AL258">
        <v>0</v>
      </c>
      <c r="AM258">
        <v>176</v>
      </c>
      <c r="AN258">
        <v>64</v>
      </c>
      <c r="AO258">
        <v>176</v>
      </c>
      <c r="AP258">
        <v>5</v>
      </c>
      <c r="AQ258">
        <v>0</v>
      </c>
      <c r="AR258">
        <v>0</v>
      </c>
      <c r="AS258" t="s">
        <v>59</v>
      </c>
      <c r="AT258">
        <v>1</v>
      </c>
      <c r="AU258" t="s">
        <v>76</v>
      </c>
      <c r="AV258" t="s">
        <v>65</v>
      </c>
      <c r="AW258">
        <v>0</v>
      </c>
      <c r="AX258">
        <v>3</v>
      </c>
      <c r="AY258">
        <v>0</v>
      </c>
      <c r="AZ258">
        <v>0</v>
      </c>
      <c r="BA258">
        <v>100</v>
      </c>
      <c r="BB258">
        <v>100</v>
      </c>
      <c r="BC258">
        <v>100</v>
      </c>
      <c r="BD258">
        <v>100</v>
      </c>
      <c r="BE258">
        <v>1</v>
      </c>
      <c r="BF258">
        <v>15000</v>
      </c>
      <c r="BG258">
        <v>1000</v>
      </c>
      <c r="BH258" s="8">
        <f>Granger_Inventory[[#This Row],[land_extract]]*Lookups!$B$3</f>
        <v>39068.720880293993</v>
      </c>
      <c r="BI258" s="8">
        <f>IF(Granger_Inventory[[#This Row],[bldg_style]]="",0,Lookups!$B$2)</f>
        <v>29703.559000000001</v>
      </c>
      <c r="BJ258" s="8">
        <f>_xlfn.IFNA(VLOOKUP(Granger_Inventory[[#This Row],[quality]],Lookups!$H$2:$J$14,3,FALSE),0)</f>
        <v>23737.786340274597</v>
      </c>
      <c r="BK258" s="8">
        <f>_xlfn.IFNA(VLOOKUP(Granger_Inventory[[#This Row],[condition]],Lookups!$H$17:$J$24,3,FALSE),0)</f>
        <v>33736</v>
      </c>
      <c r="BL258" s="8">
        <f>Granger_Inventory[[#This Row],[Age]]*Lookups!$B$16</f>
        <v>-15135.1703</v>
      </c>
      <c r="BM258" s="8">
        <f>Granger_Inventory[[#This Row],[living_area]]*Lookups!$B$17</f>
        <v>60814.709735999997</v>
      </c>
      <c r="BN258" s="8">
        <f>(Granger_Inventory[[#This Row],[att_gar]]+Granger_Inventory[[#This Row],[blt_gar]])*Lookups!$B$18</f>
        <v>0</v>
      </c>
      <c r="BO258" s="8">
        <f>Granger_Inventory[[#This Row],[Patio]]*Lookups!$B$19</f>
        <v>9559.4568959999997</v>
      </c>
      <c r="BP258" s="8">
        <f>SUM(Granger_Inventory[[#This Row],[Intercept]:[Patio_Value]])*Granger_Inventory[[#This Row],[res_pct]]</f>
        <v>142416.34167227458</v>
      </c>
      <c r="BQ258" s="8">
        <f>Granger_Inventory[[#This Row],[land_value]]</f>
        <v>39068.720880293993</v>
      </c>
      <c r="BR258" s="4">
        <f>_xlfn.IFNA(VLOOKUP(Granger_Inventory[[#This Row],[quality]],Lookups!$A$25:$C$35,3,FALSE),1)</f>
        <v>0.77695375541795109</v>
      </c>
      <c r="BS258" s="4">
        <f>_xlfn.IFNA(VLOOKUP(Granger_Inventory[[#This Row],[condition]],Lookups!$A$38:$C$45,3,FALSE),1)</f>
        <v>0.92294678898076177</v>
      </c>
      <c r="BT258" s="4">
        <f>IF(Granger_Inventory[[#This Row],[decade]]="",1,_xlfn.IFNA(VLOOKUP(Granger_Inventory[[#This Row],[decade]],Lookups!$G$28:$I$42,3,FALSE),1))</f>
        <v>0.76006056002554967</v>
      </c>
      <c r="BU258" s="4">
        <f>_xlfn.IFNA(VLOOKUP(Granger_Inventory[[#This Row],[living_area_range]],Lookups!$A$48:$C$57,3,FALSE),1)</f>
        <v>0.81272404900450645</v>
      </c>
      <c r="BV258" s="4">
        <f>AVERAGE(Granger_Inventory[[#This Row],[qual_adj]:[living_range_adj]])</f>
        <v>0.81817128835719222</v>
      </c>
      <c r="BW258" s="8">
        <f>(Granger_Inventory[[#This Row],[sum_land]]-IF(Granger_Inventory[[#This Row],[no_utilities]]=1,12000,0))/IF(Granger_Inventory[[#This Row],[unbuildable]]=1,2,1)</f>
        <v>39068.720880293993</v>
      </c>
      <c r="BX258" s="8">
        <f>Granger_Inventory[[#This Row],[pre_res]]*Granger_Inventory[[#This Row],[overall_adj]]</f>
        <v>116520.96174912297</v>
      </c>
      <c r="BY258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258">
        <f>ROUND(Granger_Inventory[[#This Row],[detatched_value]]*Lookups!$I$45,-2)</f>
        <v>0</v>
      </c>
      <c r="CA258">
        <f>IF(ROUND(Granger_Inventory[[#This Row],[adj_res]]*Lookups!$I$45,-2)&lt;Granger_Inventory[[#This Row],[min_res]],Granger_Inventory[[#This Row],[min_res]],ROUND(Granger_Inventory[[#This Row],[adj_res]]*Lookups!$I$45,-2))</f>
        <v>110700</v>
      </c>
      <c r="CB258">
        <f>Granger_Inventory[[#This Row],[final_det]]+Granger_Inventory[[#This Row],[final_res]]</f>
        <v>110700</v>
      </c>
      <c r="CC258">
        <f>Granger_Inventory[[#This Row],[final_land]]+Granger_Inventory[[#This Row],[final_imp]]+Granger_Inventory[[#This Row],[crop_value]]</f>
        <v>147800</v>
      </c>
      <c r="CE258" t="str">
        <f t="shared" ref="CE258:CE321" si="4">"update valuation set market_land ="&amp;BY258&amp;", market_bldg="&amp;CB258&amp;", market_total ="&amp;CC258&amp;", market_mdno ="&amp;$CE$1&amp;", market_date ='"&amp;TEXT($CF$1,"m/d/yyyy")&amp;"' where link_id = (select link_id from parcel where parcel_year = '2024' and parcel_id = '"&amp;A258&amp;"');"</f>
        <v>update valuation set market_land =37100, market_bldg=110700, market_total =147800, market_mdno =402, market_date ='9/10/2023' where link_id = (select link_id from parcel where parcel_year = '2024' and parcel_id = '21102111464');</v>
      </c>
    </row>
    <row r="259" spans="1:83" x14ac:dyDescent="0.25">
      <c r="A259">
        <v>21102111465</v>
      </c>
      <c r="B259">
        <v>0.15</v>
      </c>
      <c r="C259">
        <v>6357</v>
      </c>
      <c r="D259" t="s">
        <v>137</v>
      </c>
      <c r="E259" t="s">
        <v>54</v>
      </c>
      <c r="F259" t="s">
        <v>54</v>
      </c>
      <c r="G259">
        <v>3</v>
      </c>
      <c r="H259" t="s">
        <v>55</v>
      </c>
      <c r="I259">
        <v>158000</v>
      </c>
      <c r="J259">
        <v>26300</v>
      </c>
      <c r="K259">
        <v>0.15</v>
      </c>
      <c r="L25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59">
        <v>0</v>
      </c>
      <c r="N259">
        <v>0</v>
      </c>
      <c r="O259">
        <v>0</v>
      </c>
      <c r="P259">
        <v>47108.068500000001</v>
      </c>
      <c r="Q259">
        <v>122298</v>
      </c>
      <c r="R259">
        <f>(Granger_Inventory[[#This Row],[ln_acres]]*Granger_Inventory[[#This Row],[coeff]])+Granger_Inventory[[#This Row],[const]]</f>
        <v>32928.341799276939</v>
      </c>
      <c r="S259" t="s">
        <v>69</v>
      </c>
      <c r="T259">
        <v>1</v>
      </c>
      <c r="U259" t="s">
        <v>71</v>
      </c>
      <c r="V259" t="s">
        <v>77</v>
      </c>
      <c r="W259">
        <v>0</v>
      </c>
      <c r="X259">
        <v>0</v>
      </c>
      <c r="Y259">
        <v>53</v>
      </c>
      <c r="Z259">
        <v>90</v>
      </c>
      <c r="AA259">
        <v>90</v>
      </c>
      <c r="AB259">
        <v>1500</v>
      </c>
      <c r="AC259">
        <v>1344</v>
      </c>
      <c r="AD259">
        <v>1344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225</v>
      </c>
      <c r="AL259">
        <v>0</v>
      </c>
      <c r="AM259">
        <v>0</v>
      </c>
      <c r="AN259">
        <v>0</v>
      </c>
      <c r="AO259">
        <v>56</v>
      </c>
      <c r="AP259">
        <v>8</v>
      </c>
      <c r="AQ259">
        <v>0</v>
      </c>
      <c r="AR259">
        <v>0</v>
      </c>
      <c r="AS259" t="s">
        <v>59</v>
      </c>
      <c r="AT259">
        <v>1</v>
      </c>
      <c r="AU259" t="s">
        <v>63</v>
      </c>
      <c r="AV259" t="s">
        <v>65</v>
      </c>
      <c r="AW259">
        <v>1</v>
      </c>
      <c r="AX259">
        <v>4</v>
      </c>
      <c r="AY259">
        <v>0</v>
      </c>
      <c r="AZ259">
        <v>0</v>
      </c>
      <c r="BA259">
        <v>100</v>
      </c>
      <c r="BB259">
        <v>100</v>
      </c>
      <c r="BC259">
        <v>100</v>
      </c>
      <c r="BD259">
        <v>100</v>
      </c>
      <c r="BE259">
        <v>1</v>
      </c>
      <c r="BF259">
        <v>15000</v>
      </c>
      <c r="BG259">
        <v>1000</v>
      </c>
      <c r="BH259" s="8">
        <f>Granger_Inventory[[#This Row],[land_extract]]*Lookups!$B$3</f>
        <v>19616.42740275669</v>
      </c>
      <c r="BI259" s="8">
        <f>IF(Granger_Inventory[[#This Row],[bldg_style]]="",0,Lookups!$B$2)</f>
        <v>29703.559000000001</v>
      </c>
      <c r="BJ259" s="8">
        <f>_xlfn.IFNA(VLOOKUP(Granger_Inventory[[#This Row],[quality]],Lookups!$H$2:$J$14,3,FALSE),0)</f>
        <v>34195</v>
      </c>
      <c r="BK259" s="8">
        <f>_xlfn.IFNA(VLOOKUP(Granger_Inventory[[#This Row],[condition]],Lookups!$H$17:$J$24,3,FALSE),0)</f>
        <v>33736</v>
      </c>
      <c r="BL259" s="8">
        <f>Granger_Inventory[[#This Row],[Age]]*Lookups!$B$16</f>
        <v>-18659.798999999999</v>
      </c>
      <c r="BM259" s="8">
        <f>Granger_Inventory[[#This Row],[living_area]]*Lookups!$B$17</f>
        <v>90414.789695999993</v>
      </c>
      <c r="BN259" s="8">
        <f>(Granger_Inventory[[#This Row],[att_gar]]+Granger_Inventory[[#This Row],[blt_gar]])*Lookups!$B$18</f>
        <v>0</v>
      </c>
      <c r="BO259" s="8">
        <f>Granger_Inventory[[#This Row],[Patio]]*Lookups!$B$19</f>
        <v>0</v>
      </c>
      <c r="BP259" s="8">
        <f>SUM(Granger_Inventory[[#This Row],[Intercept]:[Patio_Value]])*Granger_Inventory[[#This Row],[res_pct]]</f>
        <v>169389.549696</v>
      </c>
      <c r="BQ259" s="8">
        <f>Granger_Inventory[[#This Row],[land_value]]</f>
        <v>19616.42740275669</v>
      </c>
      <c r="BR259" s="4">
        <f>_xlfn.IFNA(VLOOKUP(Granger_Inventory[[#This Row],[quality]],Lookups!$A$25:$C$35,3,FALSE),1)</f>
        <v>0.98258795897788032</v>
      </c>
      <c r="BS259" s="4">
        <f>_xlfn.IFNA(VLOOKUP(Granger_Inventory[[#This Row],[condition]],Lookups!$A$38:$C$45,3,FALSE),1)</f>
        <v>0.92294678898076177</v>
      </c>
      <c r="BT259" s="4">
        <f>IF(Granger_Inventory[[#This Row],[decade]]="",1,_xlfn.IFNA(VLOOKUP(Granger_Inventory[[#This Row],[decade]],Lookups!$G$28:$I$42,3,FALSE),1))</f>
        <v>0.95234610137492615</v>
      </c>
      <c r="BU259" s="4">
        <f>_xlfn.IFNA(VLOOKUP(Granger_Inventory[[#This Row],[living_area_range]],Lookups!$A$48:$C$57,3,FALSE),1)</f>
        <v>0.97960506760539345</v>
      </c>
      <c r="BV259" s="4">
        <f>AVERAGE(Granger_Inventory[[#This Row],[qual_adj]:[living_range_adj]])</f>
        <v>0.95937147923474042</v>
      </c>
      <c r="BW259" s="8">
        <f>(Granger_Inventory[[#This Row],[sum_land]]-IF(Granger_Inventory[[#This Row],[no_utilities]]=1,12000,0))/IF(Granger_Inventory[[#This Row],[unbuildable]]=1,2,1)</f>
        <v>19616.42740275669</v>
      </c>
      <c r="BX259" s="8">
        <f>Granger_Inventory[[#This Row],[pre_res]]*Granger_Inventory[[#This Row],[overall_adj]]</f>
        <v>162507.50285875809</v>
      </c>
      <c r="BY25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59">
        <f>ROUND(Granger_Inventory[[#This Row],[detatched_value]]*Lookups!$I$45,-2)</f>
        <v>0</v>
      </c>
      <c r="CA259">
        <f>IF(ROUND(Granger_Inventory[[#This Row],[adj_res]]*Lookups!$I$45,-2)&lt;Granger_Inventory[[#This Row],[min_res]],Granger_Inventory[[#This Row],[min_res]],ROUND(Granger_Inventory[[#This Row],[adj_res]]*Lookups!$I$45,-2))</f>
        <v>154400</v>
      </c>
      <c r="CB259">
        <f>Granger_Inventory[[#This Row],[final_det]]+Granger_Inventory[[#This Row],[final_res]]</f>
        <v>154400</v>
      </c>
      <c r="CC259">
        <f>Granger_Inventory[[#This Row],[final_land]]+Granger_Inventory[[#This Row],[final_imp]]+Granger_Inventory[[#This Row],[crop_value]]</f>
        <v>173000</v>
      </c>
      <c r="CE259" t="str">
        <f t="shared" si="4"/>
        <v>update valuation set market_land =18600, market_bldg=154400, market_total =173000, market_mdno =402, market_date ='9/10/2023' where link_id = (select link_id from parcel where parcel_year = '2024' and parcel_id = '21102111465');</v>
      </c>
    </row>
    <row r="260" spans="1:83" x14ac:dyDescent="0.25">
      <c r="A260">
        <v>21102111466</v>
      </c>
      <c r="B260">
        <v>0.16</v>
      </c>
      <c r="C260">
        <v>6892</v>
      </c>
      <c r="D260" t="s">
        <v>137</v>
      </c>
      <c r="E260" t="s">
        <v>54</v>
      </c>
      <c r="F260" t="s">
        <v>54</v>
      </c>
      <c r="G260">
        <v>3</v>
      </c>
      <c r="H260" t="s">
        <v>55</v>
      </c>
      <c r="I260">
        <v>160200</v>
      </c>
      <c r="J260">
        <v>26700</v>
      </c>
      <c r="K260">
        <v>0.16</v>
      </c>
      <c r="L26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60">
        <v>0</v>
      </c>
      <c r="N260">
        <v>0</v>
      </c>
      <c r="O260">
        <v>0</v>
      </c>
      <c r="P260">
        <v>47108.068500000001</v>
      </c>
      <c r="Q260">
        <v>122298</v>
      </c>
      <c r="R260">
        <f>(Granger_Inventory[[#This Row],[ln_acres]]*Granger_Inventory[[#This Row],[coeff]])+Granger_Inventory[[#This Row],[const]]</f>
        <v>35968.626873914327</v>
      </c>
      <c r="S260" t="s">
        <v>69</v>
      </c>
      <c r="T260">
        <v>1</v>
      </c>
      <c r="U260" t="s">
        <v>71</v>
      </c>
      <c r="V260" t="s">
        <v>77</v>
      </c>
      <c r="W260">
        <v>0</v>
      </c>
      <c r="X260">
        <v>0</v>
      </c>
      <c r="Y260">
        <v>51</v>
      </c>
      <c r="Z260">
        <v>82</v>
      </c>
      <c r="AA260">
        <v>90</v>
      </c>
      <c r="AB260">
        <v>1500</v>
      </c>
      <c r="AC260">
        <v>1454</v>
      </c>
      <c r="AD260">
        <v>1454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504</v>
      </c>
      <c r="AL260">
        <v>0</v>
      </c>
      <c r="AM260">
        <v>0</v>
      </c>
      <c r="AN260">
        <v>0</v>
      </c>
      <c r="AO260">
        <v>0</v>
      </c>
      <c r="AP260">
        <v>5</v>
      </c>
      <c r="AQ260">
        <v>0</v>
      </c>
      <c r="AR260">
        <v>0</v>
      </c>
      <c r="AS260" t="s">
        <v>59</v>
      </c>
      <c r="AT260">
        <v>1</v>
      </c>
      <c r="AU260" t="s">
        <v>63</v>
      </c>
      <c r="AV260" t="s">
        <v>65</v>
      </c>
      <c r="AW260">
        <v>1</v>
      </c>
      <c r="AX260">
        <v>4</v>
      </c>
      <c r="AY260">
        <v>0</v>
      </c>
      <c r="AZ260">
        <v>0</v>
      </c>
      <c r="BA260">
        <v>100</v>
      </c>
      <c r="BB260">
        <v>100</v>
      </c>
      <c r="BC260">
        <v>100</v>
      </c>
      <c r="BD260">
        <v>100</v>
      </c>
      <c r="BE260">
        <v>1</v>
      </c>
      <c r="BF260">
        <v>15000</v>
      </c>
      <c r="BG260">
        <v>1000</v>
      </c>
      <c r="BH260" s="8">
        <f>Granger_Inventory[[#This Row],[land_extract]]*Lookups!$B$3</f>
        <v>21427.618862498482</v>
      </c>
      <c r="BI260" s="8">
        <f>IF(Granger_Inventory[[#This Row],[bldg_style]]="",0,Lookups!$B$2)</f>
        <v>29703.559000000001</v>
      </c>
      <c r="BJ260" s="8">
        <f>_xlfn.IFNA(VLOOKUP(Granger_Inventory[[#This Row],[quality]],Lookups!$H$2:$J$14,3,FALSE),0)</f>
        <v>34195</v>
      </c>
      <c r="BK260" s="8">
        <f>_xlfn.IFNA(VLOOKUP(Granger_Inventory[[#This Row],[condition]],Lookups!$H$17:$J$24,3,FALSE),0)</f>
        <v>33736</v>
      </c>
      <c r="BL260" s="8">
        <f>Granger_Inventory[[#This Row],[Age]]*Lookups!$B$16</f>
        <v>-17001.1502</v>
      </c>
      <c r="BM260" s="8">
        <f>Granger_Inventory[[#This Row],[living_area]]*Lookups!$B$17</f>
        <v>97814.809685999993</v>
      </c>
      <c r="BN260" s="8">
        <f>(Granger_Inventory[[#This Row],[att_gar]]+Granger_Inventory[[#This Row],[blt_gar]])*Lookups!$B$18</f>
        <v>0</v>
      </c>
      <c r="BO260" s="8">
        <f>Granger_Inventory[[#This Row],[Patio]]*Lookups!$B$19</f>
        <v>0</v>
      </c>
      <c r="BP260" s="8">
        <f>SUM(Granger_Inventory[[#This Row],[Intercept]:[Patio_Value]])*Granger_Inventory[[#This Row],[res_pct]]</f>
        <v>178448.218486</v>
      </c>
      <c r="BQ260" s="8">
        <f>Granger_Inventory[[#This Row],[land_value]]</f>
        <v>21427.618862498482</v>
      </c>
      <c r="BR260" s="4">
        <f>_xlfn.IFNA(VLOOKUP(Granger_Inventory[[#This Row],[quality]],Lookups!$A$25:$C$35,3,FALSE),1)</f>
        <v>0.98258795897788032</v>
      </c>
      <c r="BS260" s="4">
        <f>_xlfn.IFNA(VLOOKUP(Granger_Inventory[[#This Row],[condition]],Lookups!$A$38:$C$45,3,FALSE),1)</f>
        <v>0.92294678898076177</v>
      </c>
      <c r="BT260" s="4">
        <f>IF(Granger_Inventory[[#This Row],[decade]]="",1,_xlfn.IFNA(VLOOKUP(Granger_Inventory[[#This Row],[decade]],Lookups!$G$28:$I$42,3,FALSE),1))</f>
        <v>0.95234610137492615</v>
      </c>
      <c r="BU260" s="4">
        <f>_xlfn.IFNA(VLOOKUP(Granger_Inventory[[#This Row],[living_area_range]],Lookups!$A$48:$C$57,3,FALSE),1)</f>
        <v>0.97960506760539345</v>
      </c>
      <c r="BV260" s="4">
        <f>AVERAGE(Granger_Inventory[[#This Row],[qual_adj]:[living_range_adj]])</f>
        <v>0.95937147923474042</v>
      </c>
      <c r="BW260" s="8">
        <f>(Granger_Inventory[[#This Row],[sum_land]]-IF(Granger_Inventory[[#This Row],[no_utilities]]=1,12000,0))/IF(Granger_Inventory[[#This Row],[unbuildable]]=1,2,1)</f>
        <v>21427.618862498482</v>
      </c>
      <c r="BX260" s="8">
        <f>Granger_Inventory[[#This Row],[pre_res]]*Granger_Inventory[[#This Row],[overall_adj]]</f>
        <v>171198.13133571798</v>
      </c>
      <c r="BY26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60">
        <f>ROUND(Granger_Inventory[[#This Row],[detatched_value]]*Lookups!$I$45,-2)</f>
        <v>0</v>
      </c>
      <c r="CA260">
        <f>IF(ROUND(Granger_Inventory[[#This Row],[adj_res]]*Lookups!$I$45,-2)&lt;Granger_Inventory[[#This Row],[min_res]],Granger_Inventory[[#This Row],[min_res]],ROUND(Granger_Inventory[[#This Row],[adj_res]]*Lookups!$I$45,-2))</f>
        <v>162600</v>
      </c>
      <c r="CB260">
        <f>Granger_Inventory[[#This Row],[final_det]]+Granger_Inventory[[#This Row],[final_res]]</f>
        <v>162600</v>
      </c>
      <c r="CC260">
        <f>Granger_Inventory[[#This Row],[final_land]]+Granger_Inventory[[#This Row],[final_imp]]+Granger_Inventory[[#This Row],[crop_value]]</f>
        <v>183000</v>
      </c>
      <c r="CE260" t="str">
        <f t="shared" si="4"/>
        <v>update valuation set market_land =20400, market_bldg=162600, market_total =183000, market_mdno =402, market_date ='9/10/2023' where link_id = (select link_id from parcel where parcel_year = '2024' and parcel_id = '21102111466');</v>
      </c>
    </row>
    <row r="261" spans="1:83" x14ac:dyDescent="0.25">
      <c r="A261">
        <v>21102111467</v>
      </c>
      <c r="B261">
        <v>0.14000000000000001</v>
      </c>
      <c r="C261" t="s">
        <v>137</v>
      </c>
      <c r="D261" t="s">
        <v>137</v>
      </c>
      <c r="E261" t="s">
        <v>54</v>
      </c>
      <c r="F261" t="s">
        <v>54</v>
      </c>
      <c r="G261">
        <v>3</v>
      </c>
      <c r="H261" t="s">
        <v>55</v>
      </c>
      <c r="I261">
        <v>63400</v>
      </c>
      <c r="J261">
        <v>25900</v>
      </c>
      <c r="K261">
        <v>0.14000000000000001</v>
      </c>
      <c r="L26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61">
        <v>0</v>
      </c>
      <c r="N261">
        <v>0</v>
      </c>
      <c r="O261">
        <v>0</v>
      </c>
      <c r="P261">
        <v>47108.068500000001</v>
      </c>
      <c r="Q261">
        <v>122298</v>
      </c>
      <c r="R261">
        <f>(Granger_Inventory[[#This Row],[ln_acres]]*Granger_Inventory[[#This Row],[coeff]])+Granger_Inventory[[#This Row],[const]]</f>
        <v>29678.220883257934</v>
      </c>
      <c r="S261" t="s">
        <v>69</v>
      </c>
      <c r="T261">
        <v>1</v>
      </c>
      <c r="U261" t="s">
        <v>78</v>
      </c>
      <c r="V261" t="s">
        <v>77</v>
      </c>
      <c r="W261">
        <v>0</v>
      </c>
      <c r="X261">
        <v>0</v>
      </c>
      <c r="Y261">
        <v>53</v>
      </c>
      <c r="Z261">
        <v>90</v>
      </c>
      <c r="AA261">
        <v>90</v>
      </c>
      <c r="AB261">
        <v>1000</v>
      </c>
      <c r="AC261">
        <v>989</v>
      </c>
      <c r="AD261">
        <v>989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133</v>
      </c>
      <c r="AO261">
        <v>0</v>
      </c>
      <c r="AP261">
        <v>5</v>
      </c>
      <c r="AQ261">
        <v>0</v>
      </c>
      <c r="AR261">
        <v>0</v>
      </c>
      <c r="AS261" t="s">
        <v>59</v>
      </c>
      <c r="AT261">
        <v>1</v>
      </c>
      <c r="AU261" t="s">
        <v>60</v>
      </c>
      <c r="AV261" t="s">
        <v>61</v>
      </c>
      <c r="AW261">
        <v>0</v>
      </c>
      <c r="AX261">
        <v>2</v>
      </c>
      <c r="AY261">
        <v>0</v>
      </c>
      <c r="AZ261">
        <v>0</v>
      </c>
      <c r="BA261">
        <v>100</v>
      </c>
      <c r="BB261">
        <v>100</v>
      </c>
      <c r="BC261">
        <v>100</v>
      </c>
      <c r="BD261">
        <v>100</v>
      </c>
      <c r="BE261">
        <v>1</v>
      </c>
      <c r="BF261">
        <v>15000</v>
      </c>
      <c r="BG261">
        <v>1000</v>
      </c>
      <c r="BH261" s="8">
        <f>Granger_Inventory[[#This Row],[land_extract]]*Lookups!$B$3</f>
        <v>17680.230269359956</v>
      </c>
      <c r="BI261" s="8">
        <f>IF(Granger_Inventory[[#This Row],[bldg_style]]="",0,Lookups!$B$2)</f>
        <v>29703.559000000001</v>
      </c>
      <c r="BJ261" s="8">
        <f>_xlfn.IFNA(VLOOKUP(Granger_Inventory[[#This Row],[quality]],Lookups!$H$2:$J$14,3,FALSE),0)</f>
        <v>23737.786340274597</v>
      </c>
      <c r="BK261" s="8">
        <f>_xlfn.IFNA(VLOOKUP(Granger_Inventory[[#This Row],[condition]],Lookups!$H$17:$J$24,3,FALSE),0)</f>
        <v>33736</v>
      </c>
      <c r="BL261" s="8">
        <f>Granger_Inventory[[#This Row],[Age]]*Lookups!$B$16</f>
        <v>-18659.798999999999</v>
      </c>
      <c r="BM261" s="8">
        <f>Granger_Inventory[[#This Row],[living_area]]*Lookups!$B$17</f>
        <v>66532.907001</v>
      </c>
      <c r="BN261" s="8">
        <f>(Granger_Inventory[[#This Row],[att_gar]]+Granger_Inventory[[#This Row],[blt_gar]])*Lookups!$B$18</f>
        <v>0</v>
      </c>
      <c r="BO261" s="8">
        <f>Granger_Inventory[[#This Row],[Patio]]*Lookups!$B$19</f>
        <v>0</v>
      </c>
      <c r="BP261" s="8">
        <f>SUM(Granger_Inventory[[#This Row],[Intercept]:[Patio_Value]])*Granger_Inventory[[#This Row],[res_pct]]</f>
        <v>135050.45334127458</v>
      </c>
      <c r="BQ261" s="8">
        <f>Granger_Inventory[[#This Row],[land_value]]</f>
        <v>17680.230269359956</v>
      </c>
      <c r="BR261" s="4">
        <f>_xlfn.IFNA(VLOOKUP(Granger_Inventory[[#This Row],[quality]],Lookups!$A$25:$C$35,3,FALSE),1)</f>
        <v>0.77695375541795109</v>
      </c>
      <c r="BS261" s="4">
        <f>_xlfn.IFNA(VLOOKUP(Granger_Inventory[[#This Row],[condition]],Lookups!$A$38:$C$45,3,FALSE),1)</f>
        <v>0.92294678898076177</v>
      </c>
      <c r="BT261" s="4">
        <f>IF(Granger_Inventory[[#This Row],[decade]]="",1,_xlfn.IFNA(VLOOKUP(Granger_Inventory[[#This Row],[decade]],Lookups!$G$28:$I$42,3,FALSE),1))</f>
        <v>0.95234610137492615</v>
      </c>
      <c r="BU261" s="4">
        <f>_xlfn.IFNA(VLOOKUP(Granger_Inventory[[#This Row],[living_area_range]],Lookups!$A$48:$C$57,3,FALSE),1)</f>
        <v>0.81272404900450645</v>
      </c>
      <c r="BV261" s="4">
        <f>AVERAGE(Granger_Inventory[[#This Row],[qual_adj]:[living_range_adj]])</f>
        <v>0.86624267369453634</v>
      </c>
      <c r="BW261" s="8">
        <f>(Granger_Inventory[[#This Row],[sum_land]]-IF(Granger_Inventory[[#This Row],[no_utilities]]=1,12000,0))/IF(Granger_Inventory[[#This Row],[unbuildable]]=1,2,1)</f>
        <v>17680.230269359956</v>
      </c>
      <c r="BX261" s="8">
        <f>Granger_Inventory[[#This Row],[pre_res]]*Granger_Inventory[[#This Row],[overall_adj]]</f>
        <v>116986.46578600492</v>
      </c>
      <c r="BY26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61">
        <f>ROUND(Granger_Inventory[[#This Row],[detatched_value]]*Lookups!$I$45,-2)</f>
        <v>0</v>
      </c>
      <c r="CA261">
        <f>IF(ROUND(Granger_Inventory[[#This Row],[adj_res]]*Lookups!$I$45,-2)&lt;Granger_Inventory[[#This Row],[min_res]],Granger_Inventory[[#This Row],[min_res]],ROUND(Granger_Inventory[[#This Row],[adj_res]]*Lookups!$I$45,-2))</f>
        <v>111100</v>
      </c>
      <c r="CB261">
        <f>Granger_Inventory[[#This Row],[final_det]]+Granger_Inventory[[#This Row],[final_res]]</f>
        <v>111100</v>
      </c>
      <c r="CC261">
        <f>Granger_Inventory[[#This Row],[final_land]]+Granger_Inventory[[#This Row],[final_imp]]+Granger_Inventory[[#This Row],[crop_value]]</f>
        <v>127900</v>
      </c>
      <c r="CE261" t="str">
        <f t="shared" si="4"/>
        <v>update valuation set market_land =16800, market_bldg=111100, market_total =127900, market_mdno =402, market_date ='9/10/2023' where link_id = (select link_id from parcel where parcel_year = '2024' and parcel_id = '21102111467');</v>
      </c>
    </row>
    <row r="262" spans="1:83" x14ac:dyDescent="0.25">
      <c r="A262">
        <v>21102111468</v>
      </c>
      <c r="B262">
        <v>0.15</v>
      </c>
      <c r="C262">
        <v>6572</v>
      </c>
      <c r="D262" t="s">
        <v>137</v>
      </c>
      <c r="E262" t="s">
        <v>54</v>
      </c>
      <c r="F262" t="s">
        <v>54</v>
      </c>
      <c r="G262">
        <v>3</v>
      </c>
      <c r="H262" t="s">
        <v>55</v>
      </c>
      <c r="I262">
        <v>124200</v>
      </c>
      <c r="J262">
        <v>26300</v>
      </c>
      <c r="K262">
        <v>0.15</v>
      </c>
      <c r="L262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62">
        <v>0</v>
      </c>
      <c r="N262">
        <v>0</v>
      </c>
      <c r="O262">
        <v>0</v>
      </c>
      <c r="P262">
        <v>47108.068500000001</v>
      </c>
      <c r="Q262">
        <v>122298</v>
      </c>
      <c r="R262">
        <f>(Granger_Inventory[[#This Row],[ln_acres]]*Granger_Inventory[[#This Row],[coeff]])+Granger_Inventory[[#This Row],[const]]</f>
        <v>32928.341799276939</v>
      </c>
      <c r="S262" t="s">
        <v>56</v>
      </c>
      <c r="T262">
        <v>1</v>
      </c>
      <c r="U262" t="s">
        <v>71</v>
      </c>
      <c r="V262" t="s">
        <v>77</v>
      </c>
      <c r="W262">
        <v>0</v>
      </c>
      <c r="X262">
        <v>0</v>
      </c>
      <c r="Y262">
        <v>48</v>
      </c>
      <c r="Z262">
        <v>63</v>
      </c>
      <c r="AA262">
        <v>70</v>
      </c>
      <c r="AB262">
        <v>1500</v>
      </c>
      <c r="AC262">
        <v>1260</v>
      </c>
      <c r="AD262">
        <v>1260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7</v>
      </c>
      <c r="AQ262">
        <v>1</v>
      </c>
      <c r="AR262">
        <v>0</v>
      </c>
      <c r="AS262" t="s">
        <v>59</v>
      </c>
      <c r="AT262">
        <v>1</v>
      </c>
      <c r="AU262" t="s">
        <v>60</v>
      </c>
      <c r="AV262" t="s">
        <v>65</v>
      </c>
      <c r="AW262">
        <v>0</v>
      </c>
      <c r="AX262">
        <v>3</v>
      </c>
      <c r="AY262">
        <v>0</v>
      </c>
      <c r="AZ262">
        <v>6000</v>
      </c>
      <c r="BA262">
        <v>100</v>
      </c>
      <c r="BB262">
        <v>100</v>
      </c>
      <c r="BC262">
        <v>100</v>
      </c>
      <c r="BD262">
        <v>100</v>
      </c>
      <c r="BE262">
        <v>1</v>
      </c>
      <c r="BF262">
        <v>15000</v>
      </c>
      <c r="BG262">
        <v>1000</v>
      </c>
      <c r="BH262" s="8">
        <f>Granger_Inventory[[#This Row],[land_extract]]*Lookups!$B$3</f>
        <v>19616.42740275669</v>
      </c>
      <c r="BI262" s="8">
        <f>IF(Granger_Inventory[[#This Row],[bldg_style]]="",0,Lookups!$B$2)</f>
        <v>29703.559000000001</v>
      </c>
      <c r="BJ262" s="8">
        <f>_xlfn.IFNA(VLOOKUP(Granger_Inventory[[#This Row],[quality]],Lookups!$H$2:$J$14,3,FALSE),0)</f>
        <v>34195</v>
      </c>
      <c r="BK262" s="8">
        <f>_xlfn.IFNA(VLOOKUP(Granger_Inventory[[#This Row],[condition]],Lookups!$H$17:$J$24,3,FALSE),0)</f>
        <v>33736</v>
      </c>
      <c r="BL262" s="8">
        <f>Granger_Inventory[[#This Row],[Age]]*Lookups!$B$16</f>
        <v>-13061.8593</v>
      </c>
      <c r="BM262" s="8">
        <f>Granger_Inventory[[#This Row],[living_area]]*Lookups!$B$17</f>
        <v>84763.865340000004</v>
      </c>
      <c r="BN262" s="8">
        <f>(Granger_Inventory[[#This Row],[att_gar]]+Granger_Inventory[[#This Row],[blt_gar]])*Lookups!$B$18</f>
        <v>0</v>
      </c>
      <c r="BO262" s="8">
        <f>Granger_Inventory[[#This Row],[Patio]]*Lookups!$B$19</f>
        <v>0</v>
      </c>
      <c r="BP262" s="8">
        <f>SUM(Granger_Inventory[[#This Row],[Intercept]:[Patio_Value]])*Granger_Inventory[[#This Row],[res_pct]]</f>
        <v>169336.56504000002</v>
      </c>
      <c r="BQ262" s="8">
        <f>Granger_Inventory[[#This Row],[land_value]]</f>
        <v>19616.42740275669</v>
      </c>
      <c r="BR262" s="4">
        <f>_xlfn.IFNA(VLOOKUP(Granger_Inventory[[#This Row],[quality]],Lookups!$A$25:$C$35,3,FALSE),1)</f>
        <v>0.98258795897788032</v>
      </c>
      <c r="BS262" s="4">
        <f>_xlfn.IFNA(VLOOKUP(Granger_Inventory[[#This Row],[condition]],Lookups!$A$38:$C$45,3,FALSE),1)</f>
        <v>0.92294678898076177</v>
      </c>
      <c r="BT262" s="4">
        <f>IF(Granger_Inventory[[#This Row],[decade]]="",1,_xlfn.IFNA(VLOOKUP(Granger_Inventory[[#This Row],[decade]],Lookups!$G$28:$I$42,3,FALSE),1))</f>
        <v>1.0270382440255921</v>
      </c>
      <c r="BU262" s="4">
        <f>_xlfn.IFNA(VLOOKUP(Granger_Inventory[[#This Row],[living_area_range]],Lookups!$A$48:$C$57,3,FALSE),1)</f>
        <v>0.97960506760539345</v>
      </c>
      <c r="BV262" s="4">
        <f>AVERAGE(Granger_Inventory[[#This Row],[qual_adj]:[living_range_adj]])</f>
        <v>0.97804451489740685</v>
      </c>
      <c r="BW262" s="8">
        <f>(Granger_Inventory[[#This Row],[sum_land]]-IF(Granger_Inventory[[#This Row],[no_utilities]]=1,12000,0))/IF(Granger_Inventory[[#This Row],[unbuildable]]=1,2,1)</f>
        <v>19616.42740275669</v>
      </c>
      <c r="BX262" s="8">
        <f>Granger_Inventory[[#This Row],[pre_res]]*Granger_Inventory[[#This Row],[overall_adj]]</f>
        <v>165618.69860894</v>
      </c>
      <c r="BY262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62">
        <f>ROUND(Granger_Inventory[[#This Row],[detatched_value]]*Lookups!$I$45,-2)</f>
        <v>5700</v>
      </c>
      <c r="CA262">
        <f>IF(ROUND(Granger_Inventory[[#This Row],[adj_res]]*Lookups!$I$45,-2)&lt;Granger_Inventory[[#This Row],[min_res]],Granger_Inventory[[#This Row],[min_res]],ROUND(Granger_Inventory[[#This Row],[adj_res]]*Lookups!$I$45,-2))</f>
        <v>157300</v>
      </c>
      <c r="CB262">
        <f>Granger_Inventory[[#This Row],[final_det]]+Granger_Inventory[[#This Row],[final_res]]</f>
        <v>163000</v>
      </c>
      <c r="CC262">
        <f>Granger_Inventory[[#This Row],[final_land]]+Granger_Inventory[[#This Row],[final_imp]]+Granger_Inventory[[#This Row],[crop_value]]</f>
        <v>181600</v>
      </c>
      <c r="CE262" t="str">
        <f t="shared" si="4"/>
        <v>update valuation set market_land =18600, market_bldg=163000, market_total =181600, market_mdno =402, market_date ='9/10/2023' where link_id = (select link_id from parcel where parcel_year = '2024' and parcel_id = '21102111468');</v>
      </c>
    </row>
    <row r="263" spans="1:83" x14ac:dyDescent="0.25">
      <c r="A263">
        <v>21102111473</v>
      </c>
      <c r="B263">
        <v>0.14000000000000001</v>
      </c>
      <c r="C263" t="s">
        <v>137</v>
      </c>
      <c r="D263" t="s">
        <v>137</v>
      </c>
      <c r="E263" t="s">
        <v>54</v>
      </c>
      <c r="F263" t="s">
        <v>54</v>
      </c>
      <c r="G263">
        <v>3</v>
      </c>
      <c r="H263" t="s">
        <v>55</v>
      </c>
      <c r="I263">
        <v>175000</v>
      </c>
      <c r="J263">
        <v>25900</v>
      </c>
      <c r="K263">
        <v>0.14000000000000001</v>
      </c>
      <c r="L26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263">
        <v>0</v>
      </c>
      <c r="N263">
        <v>0</v>
      </c>
      <c r="O263">
        <v>0</v>
      </c>
      <c r="P263">
        <v>47108.068500000001</v>
      </c>
      <c r="Q263">
        <v>122298</v>
      </c>
      <c r="R263">
        <f>(Granger_Inventory[[#This Row],[ln_acres]]*Granger_Inventory[[#This Row],[coeff]])+Granger_Inventory[[#This Row],[const]]</f>
        <v>29678.220883257934</v>
      </c>
      <c r="S263" t="s">
        <v>62</v>
      </c>
      <c r="T263">
        <v>2</v>
      </c>
      <c r="U263" t="s">
        <v>64</v>
      </c>
      <c r="V263" t="s">
        <v>77</v>
      </c>
      <c r="W263">
        <v>0</v>
      </c>
      <c r="X263">
        <v>0</v>
      </c>
      <c r="Y263">
        <v>51</v>
      </c>
      <c r="Z263">
        <v>83</v>
      </c>
      <c r="AA263">
        <v>90</v>
      </c>
      <c r="AB263">
        <v>2000</v>
      </c>
      <c r="AC263">
        <v>1608</v>
      </c>
      <c r="AD263">
        <v>1176</v>
      </c>
      <c r="AE263">
        <v>432</v>
      </c>
      <c r="AF263">
        <v>0</v>
      </c>
      <c r="AG263">
        <v>0</v>
      </c>
      <c r="AH263">
        <v>294</v>
      </c>
      <c r="AI263">
        <v>0</v>
      </c>
      <c r="AJ263">
        <v>0</v>
      </c>
      <c r="AK263">
        <v>864</v>
      </c>
      <c r="AL263">
        <v>0</v>
      </c>
      <c r="AM263">
        <v>0</v>
      </c>
      <c r="AN263">
        <v>120</v>
      </c>
      <c r="AO263">
        <v>0</v>
      </c>
      <c r="AP263">
        <v>8</v>
      </c>
      <c r="AQ263">
        <v>0</v>
      </c>
      <c r="AR263">
        <v>1</v>
      </c>
      <c r="AS263" t="s">
        <v>59</v>
      </c>
      <c r="AT263">
        <v>1</v>
      </c>
      <c r="AU263" t="s">
        <v>60</v>
      </c>
      <c r="AV263" t="s">
        <v>65</v>
      </c>
      <c r="AW263">
        <v>0</v>
      </c>
      <c r="AX263">
        <v>3</v>
      </c>
      <c r="AY263">
        <v>0</v>
      </c>
      <c r="AZ263">
        <v>4200</v>
      </c>
      <c r="BA263">
        <v>100</v>
      </c>
      <c r="BB263">
        <v>100</v>
      </c>
      <c r="BC263">
        <v>100</v>
      </c>
      <c r="BD263">
        <v>100</v>
      </c>
      <c r="BE263">
        <v>1</v>
      </c>
      <c r="BF263">
        <v>15000</v>
      </c>
      <c r="BG263">
        <v>1000</v>
      </c>
      <c r="BH263" s="8">
        <f>Granger_Inventory[[#This Row],[land_extract]]*Lookups!$B$3</f>
        <v>17680.230269359956</v>
      </c>
      <c r="BI263" s="8">
        <f>IF(Granger_Inventory[[#This Row],[bldg_style]]="",0,Lookups!$B$2)</f>
        <v>29703.559000000001</v>
      </c>
      <c r="BJ263" s="8">
        <f>_xlfn.IFNA(VLOOKUP(Granger_Inventory[[#This Row],[quality]],Lookups!$H$2:$J$14,3,FALSE),0)</f>
        <v>36568</v>
      </c>
      <c r="BK263" s="8">
        <f>_xlfn.IFNA(VLOOKUP(Granger_Inventory[[#This Row],[condition]],Lookups!$H$17:$J$24,3,FALSE),0)</f>
        <v>33736</v>
      </c>
      <c r="BL263" s="8">
        <f>Granger_Inventory[[#This Row],[Age]]*Lookups!$B$16</f>
        <v>-17208.481299999999</v>
      </c>
      <c r="BM263" s="8">
        <f>Granger_Inventory[[#This Row],[living_area]]*Lookups!$B$17</f>
        <v>108174.83767199999</v>
      </c>
      <c r="BN263" s="8">
        <f>(Granger_Inventory[[#This Row],[att_gar]]+Granger_Inventory[[#This Row],[blt_gar]])*Lookups!$B$18</f>
        <v>0</v>
      </c>
      <c r="BO263" s="8">
        <f>Granger_Inventory[[#This Row],[Patio]]*Lookups!$B$19</f>
        <v>0</v>
      </c>
      <c r="BP263" s="8">
        <f>SUM(Granger_Inventory[[#This Row],[Intercept]:[Patio_Value]])*Granger_Inventory[[#This Row],[res_pct]]</f>
        <v>190973.91537200002</v>
      </c>
      <c r="BQ263" s="8">
        <f>Granger_Inventory[[#This Row],[land_value]]</f>
        <v>17680.230269359956</v>
      </c>
      <c r="BR263" s="4">
        <f>_xlfn.IFNA(VLOOKUP(Granger_Inventory[[#This Row],[quality]],Lookups!$A$25:$C$35,3,FALSE),1)</f>
        <v>0.99049976351917957</v>
      </c>
      <c r="BS263" s="4">
        <f>_xlfn.IFNA(VLOOKUP(Granger_Inventory[[#This Row],[condition]],Lookups!$A$38:$C$45,3,FALSE),1)</f>
        <v>0.92294678898076177</v>
      </c>
      <c r="BT263" s="4">
        <f>IF(Granger_Inventory[[#This Row],[decade]]="",1,_xlfn.IFNA(VLOOKUP(Granger_Inventory[[#This Row],[decade]],Lookups!$G$28:$I$42,3,FALSE),1))</f>
        <v>0.95234610137492615</v>
      </c>
      <c r="BU263" s="4">
        <f>_xlfn.IFNA(VLOOKUP(Granger_Inventory[[#This Row],[living_area_range]],Lookups!$A$48:$C$57,3,FALSE),1)</f>
        <v>0.97860968051050168</v>
      </c>
      <c r="BV263" s="4">
        <f>AVERAGE(Granger_Inventory[[#This Row],[qual_adj]:[living_range_adj]])</f>
        <v>0.96110058359634232</v>
      </c>
      <c r="BW263" s="8">
        <f>(Granger_Inventory[[#This Row],[sum_land]]-IF(Granger_Inventory[[#This Row],[no_utilities]]=1,12000,0))/IF(Granger_Inventory[[#This Row],[unbuildable]]=1,2,1)</f>
        <v>17680.230269359956</v>
      </c>
      <c r="BX263" s="8">
        <f>Granger_Inventory[[#This Row],[pre_res]]*Granger_Inventory[[#This Row],[overall_adj]]</f>
        <v>183545.14151570771</v>
      </c>
      <c r="BY26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263">
        <f>ROUND(Granger_Inventory[[#This Row],[detatched_value]]*Lookups!$I$45,-2)</f>
        <v>4000</v>
      </c>
      <c r="CA263">
        <f>IF(ROUND(Granger_Inventory[[#This Row],[adj_res]]*Lookups!$I$45,-2)&lt;Granger_Inventory[[#This Row],[min_res]],Granger_Inventory[[#This Row],[min_res]],ROUND(Granger_Inventory[[#This Row],[adj_res]]*Lookups!$I$45,-2))</f>
        <v>174400</v>
      </c>
      <c r="CB263">
        <f>Granger_Inventory[[#This Row],[final_det]]+Granger_Inventory[[#This Row],[final_res]]</f>
        <v>178400</v>
      </c>
      <c r="CC263">
        <f>Granger_Inventory[[#This Row],[final_land]]+Granger_Inventory[[#This Row],[final_imp]]+Granger_Inventory[[#This Row],[crop_value]]</f>
        <v>195200</v>
      </c>
      <c r="CE263" t="str">
        <f t="shared" si="4"/>
        <v>update valuation set market_land =16800, market_bldg=178400, market_total =195200, market_mdno =402, market_date ='9/10/2023' where link_id = (select link_id from parcel where parcel_year = '2024' and parcel_id = '21102111473');</v>
      </c>
    </row>
    <row r="264" spans="1:83" x14ac:dyDescent="0.25">
      <c r="A264">
        <v>21102111483</v>
      </c>
      <c r="B264">
        <v>0.23</v>
      </c>
      <c r="C264">
        <v>10232</v>
      </c>
      <c r="D264" t="s">
        <v>137</v>
      </c>
      <c r="E264" t="s">
        <v>54</v>
      </c>
      <c r="F264" t="s">
        <v>54</v>
      </c>
      <c r="G264">
        <v>3</v>
      </c>
      <c r="H264" t="s">
        <v>55</v>
      </c>
      <c r="I264">
        <v>251600</v>
      </c>
      <c r="J264">
        <v>28900</v>
      </c>
      <c r="K264">
        <v>0.23</v>
      </c>
      <c r="L264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64">
        <v>0</v>
      </c>
      <c r="N264">
        <v>0</v>
      </c>
      <c r="O264">
        <v>0</v>
      </c>
      <c r="P264">
        <v>47108.068500000001</v>
      </c>
      <c r="Q264">
        <v>122298</v>
      </c>
      <c r="R264">
        <f>(Granger_Inventory[[#This Row],[ln_acres]]*Granger_Inventory[[#This Row],[coeff]])+Granger_Inventory[[#This Row],[const]]</f>
        <v>53064.403729659418</v>
      </c>
      <c r="S264" t="s">
        <v>66</v>
      </c>
      <c r="T264">
        <v>1</v>
      </c>
      <c r="U264" t="s">
        <v>64</v>
      </c>
      <c r="V264" t="s">
        <v>72</v>
      </c>
      <c r="W264">
        <v>0</v>
      </c>
      <c r="X264">
        <v>0</v>
      </c>
      <c r="Y264">
        <v>55</v>
      </c>
      <c r="Z264">
        <v>98</v>
      </c>
      <c r="AA264">
        <v>100</v>
      </c>
      <c r="AB264">
        <v>2000</v>
      </c>
      <c r="AC264">
        <v>1690</v>
      </c>
      <c r="AD264">
        <v>1300</v>
      </c>
      <c r="AE264">
        <v>0</v>
      </c>
      <c r="AF264">
        <v>0</v>
      </c>
      <c r="AG264">
        <v>390</v>
      </c>
      <c r="AH264">
        <v>910</v>
      </c>
      <c r="AI264">
        <v>0</v>
      </c>
      <c r="AJ264">
        <v>0</v>
      </c>
      <c r="AK264">
        <v>0</v>
      </c>
      <c r="AL264">
        <v>400</v>
      </c>
      <c r="AM264">
        <v>0</v>
      </c>
      <c r="AN264">
        <v>0</v>
      </c>
      <c r="AO264">
        <v>0</v>
      </c>
      <c r="AP264">
        <v>7</v>
      </c>
      <c r="AQ264">
        <v>0</v>
      </c>
      <c r="AR264">
        <v>0</v>
      </c>
      <c r="AS264" t="s">
        <v>59</v>
      </c>
      <c r="AT264">
        <v>1</v>
      </c>
      <c r="AU264" t="s">
        <v>60</v>
      </c>
      <c r="AV264" t="s">
        <v>61</v>
      </c>
      <c r="AW264">
        <v>1</v>
      </c>
      <c r="AX264">
        <v>4</v>
      </c>
      <c r="AY264">
        <v>0</v>
      </c>
      <c r="AZ264">
        <v>5300</v>
      </c>
      <c r="BA264">
        <v>100</v>
      </c>
      <c r="BB264">
        <v>100</v>
      </c>
      <c r="BC264">
        <v>100</v>
      </c>
      <c r="BD264">
        <v>100</v>
      </c>
      <c r="BE264">
        <v>1</v>
      </c>
      <c r="BF264">
        <v>15000</v>
      </c>
      <c r="BG264">
        <v>1000</v>
      </c>
      <c r="BH264" s="8">
        <f>Granger_Inventory[[#This Row],[land_extract]]*Lookups!$B$3</f>
        <v>31612.09968539299</v>
      </c>
      <c r="BI264" s="8">
        <f>IF(Granger_Inventory[[#This Row],[bldg_style]]="",0,Lookups!$B$2)</f>
        <v>29703.559000000001</v>
      </c>
      <c r="BJ264" s="8">
        <f>_xlfn.IFNA(VLOOKUP(Granger_Inventory[[#This Row],[quality]],Lookups!$H$2:$J$14,3,FALSE),0)</f>
        <v>36568</v>
      </c>
      <c r="BK264" s="8">
        <f>_xlfn.IFNA(VLOOKUP(Granger_Inventory[[#This Row],[condition]],Lookups!$H$17:$J$24,3,FALSE),0)</f>
        <v>94106</v>
      </c>
      <c r="BL264" s="8">
        <f>Granger_Inventory[[#This Row],[Age]]*Lookups!$B$16</f>
        <v>-20318.447799999998</v>
      </c>
      <c r="BM264" s="8">
        <f>Granger_Inventory[[#This Row],[living_area]]*Lookups!$B$17</f>
        <v>113691.21621</v>
      </c>
      <c r="BN264" s="8">
        <f>(Granger_Inventory[[#This Row],[att_gar]]+Granger_Inventory[[#This Row],[blt_gar]])*Lookups!$B$18</f>
        <v>0</v>
      </c>
      <c r="BO264" s="8">
        <f>Granger_Inventory[[#This Row],[Patio]]*Lookups!$B$19</f>
        <v>0</v>
      </c>
      <c r="BP264" s="8">
        <f>SUM(Granger_Inventory[[#This Row],[Intercept]:[Patio_Value]])*Granger_Inventory[[#This Row],[res_pct]]</f>
        <v>253750.32741000003</v>
      </c>
      <c r="BQ264" s="8">
        <f>Granger_Inventory[[#This Row],[land_value]]</f>
        <v>31612.09968539299</v>
      </c>
      <c r="BR264" s="4">
        <f>_xlfn.IFNA(VLOOKUP(Granger_Inventory[[#This Row],[quality]],Lookups!$A$25:$C$35,3,FALSE),1)</f>
        <v>0.99049976351917957</v>
      </c>
      <c r="BS264" s="4">
        <f>_xlfn.IFNA(VLOOKUP(Granger_Inventory[[#This Row],[condition]],Lookups!$A$38:$C$45,3,FALSE),1)</f>
        <v>0.98658583151544277</v>
      </c>
      <c r="BT264" s="4">
        <f>IF(Granger_Inventory[[#This Row],[decade]]="",1,_xlfn.IFNA(VLOOKUP(Granger_Inventory[[#This Row],[decade]],Lookups!$G$28:$I$42,3,FALSE),1))</f>
        <v>0.879441629375324</v>
      </c>
      <c r="BU264" s="4">
        <f>_xlfn.IFNA(VLOOKUP(Granger_Inventory[[#This Row],[living_area_range]],Lookups!$A$48:$C$57,3,FALSE),1)</f>
        <v>0.97860968051050168</v>
      </c>
      <c r="BV264" s="4">
        <f>AVERAGE(Granger_Inventory[[#This Row],[qual_adj]:[living_range_adj]])</f>
        <v>0.95878422623011206</v>
      </c>
      <c r="BW264" s="8">
        <f>(Granger_Inventory[[#This Row],[sum_land]]-IF(Granger_Inventory[[#This Row],[no_utilities]]=1,12000,0))/IF(Granger_Inventory[[#This Row],[unbuildable]]=1,2,1)</f>
        <v>31612.09968539299</v>
      </c>
      <c r="BX264" s="8">
        <f>Granger_Inventory[[#This Row],[pre_res]]*Granger_Inventory[[#This Row],[overall_adj]]</f>
        <v>243291.81132143448</v>
      </c>
      <c r="BY264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64">
        <f>ROUND(Granger_Inventory[[#This Row],[detatched_value]]*Lookups!$I$45,-2)</f>
        <v>5000</v>
      </c>
      <c r="CA264">
        <f>IF(ROUND(Granger_Inventory[[#This Row],[adj_res]]*Lookups!$I$45,-2)&lt;Granger_Inventory[[#This Row],[min_res]],Granger_Inventory[[#This Row],[min_res]],ROUND(Granger_Inventory[[#This Row],[adj_res]]*Lookups!$I$45,-2))</f>
        <v>231100</v>
      </c>
      <c r="CB264">
        <f>Granger_Inventory[[#This Row],[final_det]]+Granger_Inventory[[#This Row],[final_res]]</f>
        <v>236100</v>
      </c>
      <c r="CC264">
        <f>Granger_Inventory[[#This Row],[final_land]]+Granger_Inventory[[#This Row],[final_imp]]+Granger_Inventory[[#This Row],[crop_value]]</f>
        <v>266100</v>
      </c>
      <c r="CE264" t="str">
        <f t="shared" si="4"/>
        <v>update valuation set market_land =30000, market_bldg=236100, market_total =266100, market_mdno =402, market_date ='9/10/2023' where link_id = (select link_id from parcel where parcel_year = '2024' and parcel_id = '21102111483');</v>
      </c>
    </row>
    <row r="265" spans="1:83" x14ac:dyDescent="0.25">
      <c r="A265">
        <v>21102111485</v>
      </c>
      <c r="B265">
        <v>0.11</v>
      </c>
      <c r="C265">
        <v>4738</v>
      </c>
      <c r="D265" t="s">
        <v>137</v>
      </c>
      <c r="E265" t="s">
        <v>54</v>
      </c>
      <c r="F265" t="s">
        <v>54</v>
      </c>
      <c r="G265">
        <v>3</v>
      </c>
      <c r="H265" t="s">
        <v>55</v>
      </c>
      <c r="I265">
        <v>240000</v>
      </c>
      <c r="J265">
        <v>24500</v>
      </c>
      <c r="K265">
        <v>0.11</v>
      </c>
      <c r="L265">
        <f>IF(Granger_Inventory[[#This Row],[parcel_acres]]-Granger_Inventory[[#This Row],[non_valued_acres]] =0,0,LN(Granger_Inventory[[#This Row],[parcel_acres]]-Granger_Inventory[[#This Row],[non_valued_acres]]))</f>
        <v>-2.2072749131897207</v>
      </c>
      <c r="M265">
        <v>0</v>
      </c>
      <c r="N265">
        <v>0</v>
      </c>
      <c r="O265">
        <v>0</v>
      </c>
      <c r="P265">
        <v>47108.068500000001</v>
      </c>
      <c r="Q265">
        <v>122298</v>
      </c>
      <c r="R265">
        <f>(Granger_Inventory[[#This Row],[ln_acres]]*Granger_Inventory[[#This Row],[coeff]])+Granger_Inventory[[#This Row],[const]]</f>
        <v>18317.542191127082</v>
      </c>
      <c r="S265" t="s">
        <v>69</v>
      </c>
      <c r="T265">
        <v>1</v>
      </c>
      <c r="U265" t="s">
        <v>71</v>
      </c>
      <c r="V265" t="s">
        <v>77</v>
      </c>
      <c r="W265">
        <v>0</v>
      </c>
      <c r="X265">
        <v>0</v>
      </c>
      <c r="Y265">
        <v>51</v>
      </c>
      <c r="Z265">
        <v>83</v>
      </c>
      <c r="AA265">
        <v>90</v>
      </c>
      <c r="AB265">
        <v>2500</v>
      </c>
      <c r="AC265">
        <v>2456</v>
      </c>
      <c r="AD265">
        <v>1831</v>
      </c>
      <c r="AE265">
        <v>0</v>
      </c>
      <c r="AF265">
        <v>0</v>
      </c>
      <c r="AG265">
        <v>625</v>
      </c>
      <c r="AH265">
        <v>0</v>
      </c>
      <c r="AI265">
        <v>342</v>
      </c>
      <c r="AJ265">
        <v>0</v>
      </c>
      <c r="AK265">
        <v>465</v>
      </c>
      <c r="AL265">
        <v>0</v>
      </c>
      <c r="AM265">
        <v>63</v>
      </c>
      <c r="AN265">
        <v>190</v>
      </c>
      <c r="AO265">
        <v>63</v>
      </c>
      <c r="AP265">
        <v>8</v>
      </c>
      <c r="AQ265">
        <v>0</v>
      </c>
      <c r="AR265">
        <v>1</v>
      </c>
      <c r="AS265" t="s">
        <v>59</v>
      </c>
      <c r="AT265">
        <v>1</v>
      </c>
      <c r="AU265" t="s">
        <v>60</v>
      </c>
      <c r="AV265" t="s">
        <v>61</v>
      </c>
      <c r="AW265">
        <v>0</v>
      </c>
      <c r="AX265">
        <v>3</v>
      </c>
      <c r="AY265">
        <v>0</v>
      </c>
      <c r="AZ265">
        <v>0</v>
      </c>
      <c r="BA265">
        <v>100</v>
      </c>
      <c r="BB265">
        <v>100</v>
      </c>
      <c r="BC265">
        <v>100</v>
      </c>
      <c r="BD265">
        <v>100</v>
      </c>
      <c r="BE265">
        <v>1</v>
      </c>
      <c r="BF265">
        <v>15000</v>
      </c>
      <c r="BG265">
        <v>1000</v>
      </c>
      <c r="BH265" s="8">
        <f>Granger_Inventory[[#This Row],[land_extract]]*Lookups!$B$3</f>
        <v>10912.32406355389</v>
      </c>
      <c r="BI265" s="8">
        <f>IF(Granger_Inventory[[#This Row],[bldg_style]]="",0,Lookups!$B$2)</f>
        <v>29703.559000000001</v>
      </c>
      <c r="BJ265" s="8">
        <f>_xlfn.IFNA(VLOOKUP(Granger_Inventory[[#This Row],[quality]],Lookups!$H$2:$J$14,3,FALSE),0)</f>
        <v>34195</v>
      </c>
      <c r="BK265" s="8">
        <f>_xlfn.IFNA(VLOOKUP(Granger_Inventory[[#This Row],[condition]],Lookups!$H$17:$J$24,3,FALSE),0)</f>
        <v>33736</v>
      </c>
      <c r="BL265" s="8">
        <f>Granger_Inventory[[#This Row],[Age]]*Lookups!$B$16</f>
        <v>-17208.481299999999</v>
      </c>
      <c r="BM265" s="8">
        <f>Granger_Inventory[[#This Row],[living_area]]*Lookups!$B$17</f>
        <v>165222.26450399999</v>
      </c>
      <c r="BN265" s="8">
        <f>(Granger_Inventory[[#This Row],[att_gar]]+Granger_Inventory[[#This Row],[blt_gar]])*Lookups!$B$18</f>
        <v>16569.074412000002</v>
      </c>
      <c r="BO265" s="8">
        <f>Granger_Inventory[[#This Row],[Patio]]*Lookups!$B$19</f>
        <v>3421.851048</v>
      </c>
      <c r="BP265" s="8">
        <f>SUM(Granger_Inventory[[#This Row],[Intercept]:[Patio_Value]])*Granger_Inventory[[#This Row],[res_pct]]</f>
        <v>265639.26766399998</v>
      </c>
      <c r="BQ265" s="8">
        <f>Granger_Inventory[[#This Row],[land_value]]</f>
        <v>10912.32406355389</v>
      </c>
      <c r="BR265" s="4">
        <f>_xlfn.IFNA(VLOOKUP(Granger_Inventory[[#This Row],[quality]],Lookups!$A$25:$C$35,3,FALSE),1)</f>
        <v>0.98258795897788032</v>
      </c>
      <c r="BS265" s="4">
        <f>_xlfn.IFNA(VLOOKUP(Granger_Inventory[[#This Row],[condition]],Lookups!$A$38:$C$45,3,FALSE),1)</f>
        <v>0.92294678898076177</v>
      </c>
      <c r="BT265" s="4">
        <f>IF(Granger_Inventory[[#This Row],[decade]]="",1,_xlfn.IFNA(VLOOKUP(Granger_Inventory[[#This Row],[decade]],Lookups!$G$28:$I$42,3,FALSE),1))</f>
        <v>0.95234610137492615</v>
      </c>
      <c r="BU265" s="4">
        <f>_xlfn.IFNA(VLOOKUP(Granger_Inventory[[#This Row],[living_area_range]],Lookups!$A$48:$C$57,3,FALSE),1)</f>
        <v>1.0000039906678986</v>
      </c>
      <c r="BV265" s="4">
        <f>AVERAGE(Granger_Inventory[[#This Row],[qual_adj]:[living_range_adj]])</f>
        <v>0.96447121000036673</v>
      </c>
      <c r="BW265" s="8">
        <f>(Granger_Inventory[[#This Row],[sum_land]]-IF(Granger_Inventory[[#This Row],[no_utilities]]=1,12000,0))/IF(Granger_Inventory[[#This Row],[unbuildable]]=1,2,1)</f>
        <v>10912.32406355389</v>
      </c>
      <c r="BX265" s="8">
        <f>Granger_Inventory[[#This Row],[pre_res]]*Granger_Inventory[[#This Row],[overall_adj]]</f>
        <v>256201.42590750934</v>
      </c>
      <c r="BY265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265">
        <f>ROUND(Granger_Inventory[[#This Row],[detatched_value]]*Lookups!$I$45,-2)</f>
        <v>0</v>
      </c>
      <c r="CA265">
        <f>IF(ROUND(Granger_Inventory[[#This Row],[adj_res]]*Lookups!$I$45,-2)&lt;Granger_Inventory[[#This Row],[min_res]],Granger_Inventory[[#This Row],[min_res]],ROUND(Granger_Inventory[[#This Row],[adj_res]]*Lookups!$I$45,-2))</f>
        <v>243400</v>
      </c>
      <c r="CB265">
        <f>Granger_Inventory[[#This Row],[final_det]]+Granger_Inventory[[#This Row],[final_res]]</f>
        <v>243400</v>
      </c>
      <c r="CC265">
        <f>Granger_Inventory[[#This Row],[final_land]]+Granger_Inventory[[#This Row],[final_imp]]+Granger_Inventory[[#This Row],[crop_value]]</f>
        <v>258400</v>
      </c>
      <c r="CE265" t="str">
        <f t="shared" si="4"/>
        <v>update valuation set market_land =15000, market_bldg=243400, market_total =258400, market_mdno =402, market_date ='9/10/2023' where link_id = (select link_id from parcel where parcel_year = '2024' and parcel_id = '21102111485');</v>
      </c>
    </row>
    <row r="266" spans="1:83" x14ac:dyDescent="0.25">
      <c r="A266">
        <v>21102111486</v>
      </c>
      <c r="B266">
        <v>0.28000000000000003</v>
      </c>
      <c r="C266">
        <v>12123</v>
      </c>
      <c r="D266" t="s">
        <v>137</v>
      </c>
      <c r="E266" t="s">
        <v>54</v>
      </c>
      <c r="F266" t="s">
        <v>54</v>
      </c>
      <c r="G266">
        <v>3</v>
      </c>
      <c r="H266" t="s">
        <v>55</v>
      </c>
      <c r="I266">
        <v>321400</v>
      </c>
      <c r="J266">
        <v>30000</v>
      </c>
      <c r="K266">
        <v>0.28000000000000003</v>
      </c>
      <c r="L266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266">
        <v>0</v>
      </c>
      <c r="N266">
        <v>0</v>
      </c>
      <c r="O266">
        <v>0</v>
      </c>
      <c r="P266">
        <v>47108.068500000001</v>
      </c>
      <c r="Q266">
        <v>122298</v>
      </c>
      <c r="R266">
        <f>(Granger_Inventory[[#This Row],[ln_acres]]*Granger_Inventory[[#This Row],[coeff]])+Granger_Inventory[[#This Row],[const]]</f>
        <v>62331.045745657706</v>
      </c>
      <c r="S266" t="s">
        <v>69</v>
      </c>
      <c r="T266">
        <v>1</v>
      </c>
      <c r="U266" t="s">
        <v>61</v>
      </c>
      <c r="V266" t="s">
        <v>72</v>
      </c>
      <c r="W266">
        <v>0</v>
      </c>
      <c r="X266">
        <v>0</v>
      </c>
      <c r="Y266">
        <v>51</v>
      </c>
      <c r="Z266">
        <v>78</v>
      </c>
      <c r="AA266">
        <v>80</v>
      </c>
      <c r="AB266">
        <v>2500</v>
      </c>
      <c r="AC266">
        <v>2115</v>
      </c>
      <c r="AD266">
        <v>1875</v>
      </c>
      <c r="AE266">
        <v>0</v>
      </c>
      <c r="AF266">
        <v>0</v>
      </c>
      <c r="AG266">
        <v>240</v>
      </c>
      <c r="AH266">
        <v>576</v>
      </c>
      <c r="AI266">
        <v>0</v>
      </c>
      <c r="AJ266">
        <v>0</v>
      </c>
      <c r="AK266">
        <v>1066</v>
      </c>
      <c r="AL266">
        <v>0</v>
      </c>
      <c r="AM266">
        <v>324</v>
      </c>
      <c r="AN266">
        <v>8</v>
      </c>
      <c r="AO266">
        <v>0</v>
      </c>
      <c r="AP266">
        <v>9</v>
      </c>
      <c r="AQ266">
        <v>0</v>
      </c>
      <c r="AR266">
        <v>1</v>
      </c>
      <c r="AS266" t="s">
        <v>59</v>
      </c>
      <c r="AT266">
        <v>1</v>
      </c>
      <c r="AU266" t="s">
        <v>63</v>
      </c>
      <c r="AV266" t="s">
        <v>65</v>
      </c>
      <c r="AW266">
        <v>1</v>
      </c>
      <c r="AX266">
        <v>3</v>
      </c>
      <c r="AY266">
        <v>0</v>
      </c>
      <c r="AZ266">
        <v>37800</v>
      </c>
      <c r="BA266">
        <v>100</v>
      </c>
      <c r="BB266">
        <v>100</v>
      </c>
      <c r="BC266">
        <v>100</v>
      </c>
      <c r="BD266">
        <v>100</v>
      </c>
      <c r="BE266">
        <v>1</v>
      </c>
      <c r="BF266">
        <v>15000</v>
      </c>
      <c r="BG266">
        <v>1000</v>
      </c>
      <c r="BH266" s="8">
        <f>Granger_Inventory[[#This Row],[land_extract]]*Lookups!$B$3</f>
        <v>37132.523746897263</v>
      </c>
      <c r="BI266" s="8">
        <f>IF(Granger_Inventory[[#This Row],[bldg_style]]="",0,Lookups!$B$2)</f>
        <v>29703.559000000001</v>
      </c>
      <c r="BJ266" s="8">
        <f>_xlfn.IFNA(VLOOKUP(Granger_Inventory[[#This Row],[quality]],Lookups!$H$2:$J$14,3,FALSE),0)</f>
        <v>71767</v>
      </c>
      <c r="BK266" s="8">
        <f>_xlfn.IFNA(VLOOKUP(Granger_Inventory[[#This Row],[condition]],Lookups!$H$17:$J$24,3,FALSE),0)</f>
        <v>94106</v>
      </c>
      <c r="BL266" s="8">
        <f>Granger_Inventory[[#This Row],[Age]]*Lookups!$B$16</f>
        <v>-16171.825799999999</v>
      </c>
      <c r="BM266" s="8">
        <f>Granger_Inventory[[#This Row],[living_area]]*Lookups!$B$17</f>
        <v>142282.20253499999</v>
      </c>
      <c r="BN266" s="8">
        <f>(Granger_Inventory[[#This Row],[att_gar]]+Granger_Inventory[[#This Row],[blt_gar]])*Lookups!$B$18</f>
        <v>0</v>
      </c>
      <c r="BO266" s="8">
        <f>Granger_Inventory[[#This Row],[Patio]]*Lookups!$B$19</f>
        <v>17598.091103999999</v>
      </c>
      <c r="BP266" s="8">
        <f>SUM(Granger_Inventory[[#This Row],[Intercept]:[Patio_Value]])*Granger_Inventory[[#This Row],[res_pct]]</f>
        <v>339285.026839</v>
      </c>
      <c r="BQ266" s="8">
        <f>Granger_Inventory[[#This Row],[land_value]]</f>
        <v>37132.523746897263</v>
      </c>
      <c r="BR266" s="4">
        <f>_xlfn.IFNA(VLOOKUP(Granger_Inventory[[#This Row],[quality]],Lookups!$A$25:$C$35,3,FALSE),1)</f>
        <v>0.992092799099482</v>
      </c>
      <c r="BS266" s="4">
        <f>_xlfn.IFNA(VLOOKUP(Granger_Inventory[[#This Row],[condition]],Lookups!$A$38:$C$45,3,FALSE),1)</f>
        <v>0.98658583151544277</v>
      </c>
      <c r="BT266" s="4">
        <f>IF(Granger_Inventory[[#This Row],[decade]]="",1,_xlfn.IFNA(VLOOKUP(Granger_Inventory[[#This Row],[decade]],Lookups!$G$28:$I$42,3,FALSE),1))</f>
        <v>0.76006056002554967</v>
      </c>
      <c r="BU266" s="4">
        <f>_xlfn.IFNA(VLOOKUP(Granger_Inventory[[#This Row],[living_area_range]],Lookups!$A$48:$C$57,3,FALSE),1)</f>
        <v>1.0000039906678986</v>
      </c>
      <c r="BV266" s="4">
        <f>AVERAGE(Granger_Inventory[[#This Row],[qual_adj]:[living_range_adj]])</f>
        <v>0.93468579532709328</v>
      </c>
      <c r="BW266" s="8">
        <f>(Granger_Inventory[[#This Row],[sum_land]]-IF(Granger_Inventory[[#This Row],[no_utilities]]=1,12000,0))/IF(Granger_Inventory[[#This Row],[unbuildable]]=1,2,1)</f>
        <v>37132.523746897263</v>
      </c>
      <c r="BX266" s="8">
        <f>Granger_Inventory[[#This Row],[pre_res]]*Granger_Inventory[[#This Row],[overall_adj]]</f>
        <v>317124.89515358489</v>
      </c>
      <c r="BY266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266">
        <f>ROUND(Granger_Inventory[[#This Row],[detatched_value]]*Lookups!$I$45,-2)</f>
        <v>35900</v>
      </c>
      <c r="CA266">
        <f>IF(ROUND(Granger_Inventory[[#This Row],[adj_res]]*Lookups!$I$45,-2)&lt;Granger_Inventory[[#This Row],[min_res]],Granger_Inventory[[#This Row],[min_res]],ROUND(Granger_Inventory[[#This Row],[adj_res]]*Lookups!$I$45,-2))</f>
        <v>301300</v>
      </c>
      <c r="CB266">
        <f>Granger_Inventory[[#This Row],[final_det]]+Granger_Inventory[[#This Row],[final_res]]</f>
        <v>337200</v>
      </c>
      <c r="CC266">
        <f>Granger_Inventory[[#This Row],[final_land]]+Granger_Inventory[[#This Row],[final_imp]]+Granger_Inventory[[#This Row],[crop_value]]</f>
        <v>372500</v>
      </c>
      <c r="CE266" t="str">
        <f t="shared" si="4"/>
        <v>update valuation set market_land =35300, market_bldg=337200, market_total =372500, market_mdno =402, market_date ='9/10/2023' where link_id = (select link_id from parcel where parcel_year = '2024' and parcel_id = '21102111486');</v>
      </c>
    </row>
    <row r="267" spans="1:83" x14ac:dyDescent="0.25">
      <c r="A267">
        <v>21102111489</v>
      </c>
      <c r="B267">
        <v>0.15</v>
      </c>
      <c r="C267">
        <v>6716</v>
      </c>
      <c r="D267" t="s">
        <v>137</v>
      </c>
      <c r="E267" t="s">
        <v>54</v>
      </c>
      <c r="F267" t="s">
        <v>54</v>
      </c>
      <c r="G267">
        <v>3</v>
      </c>
      <c r="H267" t="s">
        <v>55</v>
      </c>
      <c r="I267">
        <v>23900</v>
      </c>
      <c r="J267">
        <v>26300</v>
      </c>
      <c r="K267">
        <v>0.15</v>
      </c>
      <c r="L26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67">
        <v>0</v>
      </c>
      <c r="N267">
        <v>0</v>
      </c>
      <c r="O267">
        <v>0</v>
      </c>
      <c r="P267">
        <v>47108.068500000001</v>
      </c>
      <c r="Q267">
        <v>122298</v>
      </c>
      <c r="R267">
        <f>(Granger_Inventory[[#This Row],[ln_acres]]*Granger_Inventory[[#This Row],[coeff]])+Granger_Inventory[[#This Row],[const]]</f>
        <v>32928.341799276939</v>
      </c>
      <c r="S267" t="s">
        <v>69</v>
      </c>
      <c r="T267">
        <v>1</v>
      </c>
      <c r="U267" t="s">
        <v>78</v>
      </c>
      <c r="V267" t="s">
        <v>79</v>
      </c>
      <c r="W267">
        <v>0</v>
      </c>
      <c r="X267">
        <v>0</v>
      </c>
      <c r="Y267">
        <v>51</v>
      </c>
      <c r="Z267">
        <v>83</v>
      </c>
      <c r="AA267">
        <v>90</v>
      </c>
      <c r="AB267">
        <v>1000</v>
      </c>
      <c r="AC267">
        <v>868</v>
      </c>
      <c r="AD267">
        <v>868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5</v>
      </c>
      <c r="AQ267">
        <v>1</v>
      </c>
      <c r="AR267">
        <v>0</v>
      </c>
      <c r="AS267" t="s">
        <v>59</v>
      </c>
      <c r="AT267">
        <v>0</v>
      </c>
      <c r="AU267" t="s">
        <v>83</v>
      </c>
      <c r="AV267" t="s">
        <v>61</v>
      </c>
      <c r="AW267">
        <v>0</v>
      </c>
      <c r="AX267">
        <v>1</v>
      </c>
      <c r="AY267">
        <v>0</v>
      </c>
      <c r="AZ267">
        <v>0</v>
      </c>
      <c r="BA267">
        <v>100</v>
      </c>
      <c r="BB267">
        <v>100</v>
      </c>
      <c r="BC267">
        <v>100</v>
      </c>
      <c r="BD267">
        <v>100</v>
      </c>
      <c r="BE267">
        <v>1</v>
      </c>
      <c r="BF267">
        <v>15000</v>
      </c>
      <c r="BG267">
        <v>1000</v>
      </c>
      <c r="BH267" s="8">
        <f>Granger_Inventory[[#This Row],[land_extract]]*Lookups!$B$3</f>
        <v>19616.42740275669</v>
      </c>
      <c r="BI267" s="8">
        <f>IF(Granger_Inventory[[#This Row],[bldg_style]]="",0,Lookups!$B$2)</f>
        <v>29703.559000000001</v>
      </c>
      <c r="BJ267" s="8">
        <f>_xlfn.IFNA(VLOOKUP(Granger_Inventory[[#This Row],[quality]],Lookups!$H$2:$J$14,3,FALSE),0)</f>
        <v>23737.786340274597</v>
      </c>
      <c r="BK267" s="8">
        <f>_xlfn.IFNA(VLOOKUP(Granger_Inventory[[#This Row],[condition]],Lookups!$H$17:$J$24,3,FALSE),0)</f>
        <v>86727</v>
      </c>
      <c r="BL267" s="8">
        <f>Granger_Inventory[[#This Row],[Age]]*Lookups!$B$16</f>
        <v>-17208.481299999999</v>
      </c>
      <c r="BM267" s="8">
        <f>Granger_Inventory[[#This Row],[living_area]]*Lookups!$B$17</f>
        <v>58392.885011999999</v>
      </c>
      <c r="BN267" s="8">
        <f>(Granger_Inventory[[#This Row],[att_gar]]+Granger_Inventory[[#This Row],[blt_gar]])*Lookups!$B$18</f>
        <v>0</v>
      </c>
      <c r="BO267" s="8">
        <f>Granger_Inventory[[#This Row],[Patio]]*Lookups!$B$19</f>
        <v>0</v>
      </c>
      <c r="BP267" s="8">
        <f>SUM(Granger_Inventory[[#This Row],[Intercept]:[Patio_Value]])*Granger_Inventory[[#This Row],[res_pct]]</f>
        <v>181352.74905227459</v>
      </c>
      <c r="BQ267" s="8">
        <f>Granger_Inventory[[#This Row],[land_value]]</f>
        <v>19616.42740275669</v>
      </c>
      <c r="BR267" s="4">
        <f>_xlfn.IFNA(VLOOKUP(Granger_Inventory[[#This Row],[quality]],Lookups!$A$25:$C$35,3,FALSE),1)</f>
        <v>0.77695375541795109</v>
      </c>
      <c r="BS267" s="4">
        <f>_xlfn.IFNA(VLOOKUP(Granger_Inventory[[#This Row],[condition]],Lookups!$A$38:$C$45,3,FALSE),1)</f>
        <v>0.85322907131620684</v>
      </c>
      <c r="BT267" s="4">
        <f>IF(Granger_Inventory[[#This Row],[decade]]="",1,_xlfn.IFNA(VLOOKUP(Granger_Inventory[[#This Row],[decade]],Lookups!$G$28:$I$42,3,FALSE),1))</f>
        <v>0.95234610137492615</v>
      </c>
      <c r="BU267" s="4">
        <f>_xlfn.IFNA(VLOOKUP(Granger_Inventory[[#This Row],[living_area_range]],Lookups!$A$48:$C$57,3,FALSE),1)</f>
        <v>0.81272404900450645</v>
      </c>
      <c r="BV267" s="4">
        <f>AVERAGE(Granger_Inventory[[#This Row],[qual_adj]:[living_range_adj]])</f>
        <v>0.84881324427839766</v>
      </c>
      <c r="BW267" s="8">
        <f>(Granger_Inventory[[#This Row],[sum_land]]-IF(Granger_Inventory[[#This Row],[no_utilities]]=1,12000,0))/IF(Granger_Inventory[[#This Row],[unbuildable]]=1,2,1)</f>
        <v>19616.42740275669</v>
      </c>
      <c r="BX267" s="8">
        <f>Granger_Inventory[[#This Row],[pre_res]]*Granger_Inventory[[#This Row],[overall_adj]]</f>
        <v>153934.6152818673</v>
      </c>
      <c r="BY26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67">
        <f>ROUND(Granger_Inventory[[#This Row],[detatched_value]]*Lookups!$I$45,-2)</f>
        <v>0</v>
      </c>
      <c r="CA267">
        <f>IF(ROUND(Granger_Inventory[[#This Row],[adj_res]]*Lookups!$I$45,-2)&lt;Granger_Inventory[[#This Row],[min_res]],Granger_Inventory[[#This Row],[min_res]],ROUND(Granger_Inventory[[#This Row],[adj_res]]*Lookups!$I$45,-2))</f>
        <v>146200</v>
      </c>
      <c r="CB267">
        <f>Granger_Inventory[[#This Row],[final_det]]+Granger_Inventory[[#This Row],[final_res]]</f>
        <v>146200</v>
      </c>
      <c r="CC267">
        <f>Granger_Inventory[[#This Row],[final_land]]+Granger_Inventory[[#This Row],[final_imp]]+Granger_Inventory[[#This Row],[crop_value]]</f>
        <v>164800</v>
      </c>
      <c r="CE267" t="str">
        <f t="shared" si="4"/>
        <v>update valuation set market_land =18600, market_bldg=146200, market_total =164800, market_mdno =402, market_date ='9/10/2023' where link_id = (select link_id from parcel where parcel_year = '2024' and parcel_id = '21102111489');</v>
      </c>
    </row>
    <row r="268" spans="1:83" x14ac:dyDescent="0.25">
      <c r="A268">
        <v>21102111490</v>
      </c>
      <c r="B268">
        <v>0.23</v>
      </c>
      <c r="C268">
        <v>9988</v>
      </c>
      <c r="D268" t="s">
        <v>137</v>
      </c>
      <c r="E268" t="s">
        <v>54</v>
      </c>
      <c r="F268" t="s">
        <v>54</v>
      </c>
      <c r="G268">
        <v>3</v>
      </c>
      <c r="H268" t="s">
        <v>55</v>
      </c>
      <c r="I268">
        <v>235600</v>
      </c>
      <c r="J268">
        <v>28900</v>
      </c>
      <c r="K268">
        <v>0.23</v>
      </c>
      <c r="L268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68">
        <v>0</v>
      </c>
      <c r="N268">
        <v>0</v>
      </c>
      <c r="O268">
        <v>0</v>
      </c>
      <c r="P268">
        <v>47108.068500000001</v>
      </c>
      <c r="Q268">
        <v>122298</v>
      </c>
      <c r="R268">
        <f>(Granger_Inventory[[#This Row],[ln_acres]]*Granger_Inventory[[#This Row],[coeff]])+Granger_Inventory[[#This Row],[const]]</f>
        <v>53064.403729659418</v>
      </c>
      <c r="S268" t="s">
        <v>69</v>
      </c>
      <c r="T268">
        <v>1</v>
      </c>
      <c r="U268" t="s">
        <v>71</v>
      </c>
      <c r="V268" t="s">
        <v>72</v>
      </c>
      <c r="W268">
        <v>0</v>
      </c>
      <c r="X268">
        <v>0</v>
      </c>
      <c r="Y268">
        <v>35</v>
      </c>
      <c r="Z268">
        <v>98</v>
      </c>
      <c r="AA268">
        <v>100</v>
      </c>
      <c r="AB268">
        <v>2000</v>
      </c>
      <c r="AC268">
        <v>1892</v>
      </c>
      <c r="AD268">
        <v>1892</v>
      </c>
      <c r="AE268">
        <v>0</v>
      </c>
      <c r="AF268">
        <v>0</v>
      </c>
      <c r="AG268">
        <v>0</v>
      </c>
      <c r="AH268">
        <v>414</v>
      </c>
      <c r="AI268">
        <v>0</v>
      </c>
      <c r="AJ268">
        <v>0</v>
      </c>
      <c r="AK268">
        <v>0</v>
      </c>
      <c r="AL268">
        <v>0</v>
      </c>
      <c r="AM268">
        <v>15</v>
      </c>
      <c r="AN268">
        <v>0</v>
      </c>
      <c r="AO268">
        <v>0</v>
      </c>
      <c r="AP268">
        <v>8</v>
      </c>
      <c r="AQ268">
        <v>0</v>
      </c>
      <c r="AR268">
        <v>0</v>
      </c>
      <c r="AS268" t="s">
        <v>59</v>
      </c>
      <c r="AT268">
        <v>1</v>
      </c>
      <c r="AU268" t="s">
        <v>60</v>
      </c>
      <c r="AV268" t="s">
        <v>65</v>
      </c>
      <c r="AW268">
        <v>0</v>
      </c>
      <c r="AX268">
        <v>3</v>
      </c>
      <c r="AY268">
        <v>0</v>
      </c>
      <c r="AZ268">
        <v>5800</v>
      </c>
      <c r="BA268">
        <v>100</v>
      </c>
      <c r="BB268">
        <v>100</v>
      </c>
      <c r="BC268">
        <v>100</v>
      </c>
      <c r="BD268">
        <v>100</v>
      </c>
      <c r="BE268">
        <v>1</v>
      </c>
      <c r="BF268">
        <v>15000</v>
      </c>
      <c r="BG268">
        <v>1000</v>
      </c>
      <c r="BH268" s="8">
        <f>Granger_Inventory[[#This Row],[land_extract]]*Lookups!$B$3</f>
        <v>31612.09968539299</v>
      </c>
      <c r="BI268" s="8">
        <f>IF(Granger_Inventory[[#This Row],[bldg_style]]="",0,Lookups!$B$2)</f>
        <v>29703.559000000001</v>
      </c>
      <c r="BJ268" s="8">
        <f>_xlfn.IFNA(VLOOKUP(Granger_Inventory[[#This Row],[quality]],Lookups!$H$2:$J$14,3,FALSE),0)</f>
        <v>34195</v>
      </c>
      <c r="BK268" s="8">
        <f>_xlfn.IFNA(VLOOKUP(Granger_Inventory[[#This Row],[condition]],Lookups!$H$17:$J$24,3,FALSE),0)</f>
        <v>94106</v>
      </c>
      <c r="BL268" s="8">
        <f>Granger_Inventory[[#This Row],[Age]]*Lookups!$B$16</f>
        <v>-20318.447799999998</v>
      </c>
      <c r="BM268" s="8">
        <f>Granger_Inventory[[#This Row],[living_area]]*Lookups!$B$17</f>
        <v>127280.343828</v>
      </c>
      <c r="BN268" s="8">
        <f>(Granger_Inventory[[#This Row],[att_gar]]+Granger_Inventory[[#This Row],[blt_gar]])*Lookups!$B$18</f>
        <v>0</v>
      </c>
      <c r="BO268" s="8">
        <f>Granger_Inventory[[#This Row],[Patio]]*Lookups!$B$19</f>
        <v>814.72643999999991</v>
      </c>
      <c r="BP268" s="8">
        <f>SUM(Granger_Inventory[[#This Row],[Intercept]:[Patio_Value]])*Granger_Inventory[[#This Row],[res_pct]]</f>
        <v>265781.181468</v>
      </c>
      <c r="BQ268" s="8">
        <f>Granger_Inventory[[#This Row],[land_value]]</f>
        <v>31612.09968539299</v>
      </c>
      <c r="BR268" s="4">
        <f>_xlfn.IFNA(VLOOKUP(Granger_Inventory[[#This Row],[quality]],Lookups!$A$25:$C$35,3,FALSE),1)</f>
        <v>0.98258795897788032</v>
      </c>
      <c r="BS268" s="4">
        <f>_xlfn.IFNA(VLOOKUP(Granger_Inventory[[#This Row],[condition]],Lookups!$A$38:$C$45,3,FALSE),1)</f>
        <v>0.98658583151544277</v>
      </c>
      <c r="BT268" s="4">
        <f>IF(Granger_Inventory[[#This Row],[decade]]="",1,_xlfn.IFNA(VLOOKUP(Granger_Inventory[[#This Row],[decade]],Lookups!$G$28:$I$42,3,FALSE),1))</f>
        <v>0.879441629375324</v>
      </c>
      <c r="BU268" s="4">
        <f>_xlfn.IFNA(VLOOKUP(Granger_Inventory[[#This Row],[living_area_range]],Lookups!$A$48:$C$57,3,FALSE),1)</f>
        <v>0.97860968051050168</v>
      </c>
      <c r="BV268" s="4">
        <f>AVERAGE(Granger_Inventory[[#This Row],[qual_adj]:[living_range_adj]])</f>
        <v>0.95680627509478722</v>
      </c>
      <c r="BW268" s="8">
        <f>(Granger_Inventory[[#This Row],[sum_land]]-IF(Granger_Inventory[[#This Row],[no_utilities]]=1,12000,0))/IF(Granger_Inventory[[#This Row],[unbuildable]]=1,2,1)</f>
        <v>31612.09968539299</v>
      </c>
      <c r="BX268" s="8">
        <f>Granger_Inventory[[#This Row],[pre_res]]*Granger_Inventory[[#This Row],[overall_adj]]</f>
        <v>254301.10223068876</v>
      </c>
      <c r="BY268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68">
        <f>ROUND(Granger_Inventory[[#This Row],[detatched_value]]*Lookups!$I$45,-2)</f>
        <v>5500</v>
      </c>
      <c r="CA268">
        <f>IF(ROUND(Granger_Inventory[[#This Row],[adj_res]]*Lookups!$I$45,-2)&lt;Granger_Inventory[[#This Row],[min_res]],Granger_Inventory[[#This Row],[min_res]],ROUND(Granger_Inventory[[#This Row],[adj_res]]*Lookups!$I$45,-2))</f>
        <v>241600</v>
      </c>
      <c r="CB268">
        <f>Granger_Inventory[[#This Row],[final_det]]+Granger_Inventory[[#This Row],[final_res]]</f>
        <v>247100</v>
      </c>
      <c r="CC268">
        <f>Granger_Inventory[[#This Row],[final_land]]+Granger_Inventory[[#This Row],[final_imp]]+Granger_Inventory[[#This Row],[crop_value]]</f>
        <v>277100</v>
      </c>
      <c r="CE268" t="str">
        <f t="shared" si="4"/>
        <v>update valuation set market_land =30000, market_bldg=247100, market_total =277100, market_mdno =402, market_date ='9/10/2023' where link_id = (select link_id from parcel where parcel_year = '2024' and parcel_id = '21102111490');</v>
      </c>
    </row>
    <row r="269" spans="1:83" x14ac:dyDescent="0.25">
      <c r="A269">
        <v>21102111491</v>
      </c>
      <c r="B269">
        <v>0.23</v>
      </c>
      <c r="C269" t="s">
        <v>137</v>
      </c>
      <c r="D269" t="s">
        <v>137</v>
      </c>
      <c r="E269" t="s">
        <v>54</v>
      </c>
      <c r="F269" t="s">
        <v>54</v>
      </c>
      <c r="G269">
        <v>3</v>
      </c>
      <c r="H269" t="s">
        <v>55</v>
      </c>
      <c r="I269">
        <v>187900</v>
      </c>
      <c r="J269">
        <v>28900</v>
      </c>
      <c r="K269">
        <v>0.23</v>
      </c>
      <c r="L269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69">
        <v>0</v>
      </c>
      <c r="N269">
        <v>0</v>
      </c>
      <c r="O269">
        <v>0</v>
      </c>
      <c r="P269">
        <v>47108.068500000001</v>
      </c>
      <c r="Q269">
        <v>122298</v>
      </c>
      <c r="R269">
        <f>(Granger_Inventory[[#This Row],[ln_acres]]*Granger_Inventory[[#This Row],[coeff]])+Granger_Inventory[[#This Row],[const]]</f>
        <v>53064.403729659418</v>
      </c>
      <c r="S269" t="s">
        <v>69</v>
      </c>
      <c r="T269">
        <v>1</v>
      </c>
      <c r="U269" t="s">
        <v>71</v>
      </c>
      <c r="V269" t="s">
        <v>72</v>
      </c>
      <c r="W269">
        <v>0</v>
      </c>
      <c r="X269">
        <v>0</v>
      </c>
      <c r="Y269">
        <v>49</v>
      </c>
      <c r="Z269">
        <v>68</v>
      </c>
      <c r="AA269">
        <v>70</v>
      </c>
      <c r="AB269">
        <v>1500</v>
      </c>
      <c r="AC269">
        <v>1337</v>
      </c>
      <c r="AD269">
        <v>1337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44</v>
      </c>
      <c r="AO269">
        <v>0</v>
      </c>
      <c r="AP269">
        <v>7</v>
      </c>
      <c r="AQ269">
        <v>0</v>
      </c>
      <c r="AR269">
        <v>0</v>
      </c>
      <c r="AS269" t="s">
        <v>59</v>
      </c>
      <c r="AT269">
        <v>1</v>
      </c>
      <c r="AU269" t="s">
        <v>60</v>
      </c>
      <c r="AV269" t="s">
        <v>61</v>
      </c>
      <c r="AW269">
        <v>0</v>
      </c>
      <c r="AX269">
        <v>3</v>
      </c>
      <c r="AY269">
        <v>0</v>
      </c>
      <c r="AZ269">
        <v>5000</v>
      </c>
      <c r="BA269">
        <v>100</v>
      </c>
      <c r="BB269">
        <v>100</v>
      </c>
      <c r="BC269">
        <v>100</v>
      </c>
      <c r="BD269">
        <v>100</v>
      </c>
      <c r="BE269">
        <v>1</v>
      </c>
      <c r="BF269">
        <v>15000</v>
      </c>
      <c r="BG269">
        <v>1000</v>
      </c>
      <c r="BH269" s="8">
        <f>Granger_Inventory[[#This Row],[land_extract]]*Lookups!$B$3</f>
        <v>31612.09968539299</v>
      </c>
      <c r="BI269" s="8">
        <f>IF(Granger_Inventory[[#This Row],[bldg_style]]="",0,Lookups!$B$2)</f>
        <v>29703.559000000001</v>
      </c>
      <c r="BJ269" s="8">
        <f>_xlfn.IFNA(VLOOKUP(Granger_Inventory[[#This Row],[quality]],Lookups!$H$2:$J$14,3,FALSE),0)</f>
        <v>34195</v>
      </c>
      <c r="BK269" s="8">
        <f>_xlfn.IFNA(VLOOKUP(Granger_Inventory[[#This Row],[condition]],Lookups!$H$17:$J$24,3,FALSE),0)</f>
        <v>94106</v>
      </c>
      <c r="BL269" s="8">
        <f>Granger_Inventory[[#This Row],[Age]]*Lookups!$B$16</f>
        <v>-14098.514799999999</v>
      </c>
      <c r="BM269" s="8">
        <f>Granger_Inventory[[#This Row],[living_area]]*Lookups!$B$17</f>
        <v>89943.879333000004</v>
      </c>
      <c r="BN269" s="8">
        <f>(Granger_Inventory[[#This Row],[att_gar]]+Granger_Inventory[[#This Row],[blt_gar]])*Lookups!$B$18</f>
        <v>0</v>
      </c>
      <c r="BO269" s="8">
        <f>Granger_Inventory[[#This Row],[Patio]]*Lookups!$B$19</f>
        <v>0</v>
      </c>
      <c r="BP269" s="8">
        <f>SUM(Granger_Inventory[[#This Row],[Intercept]:[Patio_Value]])*Granger_Inventory[[#This Row],[res_pct]]</f>
        <v>233849.92353299999</v>
      </c>
      <c r="BQ269" s="8">
        <f>Granger_Inventory[[#This Row],[land_value]]</f>
        <v>31612.09968539299</v>
      </c>
      <c r="BR269" s="4">
        <f>_xlfn.IFNA(VLOOKUP(Granger_Inventory[[#This Row],[quality]],Lookups!$A$25:$C$35,3,FALSE),1)</f>
        <v>0.98258795897788032</v>
      </c>
      <c r="BS269" s="4">
        <f>_xlfn.IFNA(VLOOKUP(Granger_Inventory[[#This Row],[condition]],Lookups!$A$38:$C$45,3,FALSE),1)</f>
        <v>0.98658583151544277</v>
      </c>
      <c r="BT269" s="4">
        <f>IF(Granger_Inventory[[#This Row],[decade]]="",1,_xlfn.IFNA(VLOOKUP(Granger_Inventory[[#This Row],[decade]],Lookups!$G$28:$I$42,3,FALSE),1))</f>
        <v>1.0270382440255921</v>
      </c>
      <c r="BU269" s="4">
        <f>_xlfn.IFNA(VLOOKUP(Granger_Inventory[[#This Row],[living_area_range]],Lookups!$A$48:$C$57,3,FALSE),1)</f>
        <v>0.97960506760539345</v>
      </c>
      <c r="BV269" s="4">
        <f>AVERAGE(Granger_Inventory[[#This Row],[qual_adj]:[living_range_adj]])</f>
        <v>0.99395427553107718</v>
      </c>
      <c r="BW269" s="8">
        <f>(Granger_Inventory[[#This Row],[sum_land]]-IF(Granger_Inventory[[#This Row],[no_utilities]]=1,12000,0))/IF(Granger_Inventory[[#This Row],[unbuildable]]=1,2,1)</f>
        <v>31612.09968539299</v>
      </c>
      <c r="BX269" s="8">
        <f>Granger_Inventory[[#This Row],[pre_res]]*Granger_Inventory[[#This Row],[overall_adj]]</f>
        <v>232436.13132824079</v>
      </c>
      <c r="BY269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69">
        <f>ROUND(Granger_Inventory[[#This Row],[detatched_value]]*Lookups!$I$45,-2)</f>
        <v>4800</v>
      </c>
      <c r="CA269">
        <f>IF(ROUND(Granger_Inventory[[#This Row],[adj_res]]*Lookups!$I$45,-2)&lt;Granger_Inventory[[#This Row],[min_res]],Granger_Inventory[[#This Row],[min_res]],ROUND(Granger_Inventory[[#This Row],[adj_res]]*Lookups!$I$45,-2))</f>
        <v>220800</v>
      </c>
      <c r="CB269">
        <f>Granger_Inventory[[#This Row],[final_det]]+Granger_Inventory[[#This Row],[final_res]]</f>
        <v>225600</v>
      </c>
      <c r="CC269">
        <f>Granger_Inventory[[#This Row],[final_land]]+Granger_Inventory[[#This Row],[final_imp]]+Granger_Inventory[[#This Row],[crop_value]]</f>
        <v>255600</v>
      </c>
      <c r="CE269" t="str">
        <f t="shared" si="4"/>
        <v>update valuation set market_land =30000, market_bldg=225600, market_total =255600, market_mdno =402, market_date ='9/10/2023' where link_id = (select link_id from parcel where parcel_year = '2024' and parcel_id = '21102111491');</v>
      </c>
    </row>
    <row r="270" spans="1:83" x14ac:dyDescent="0.25">
      <c r="A270">
        <v>21102111498</v>
      </c>
      <c r="B270">
        <v>0.23</v>
      </c>
      <c r="C270">
        <v>10069</v>
      </c>
      <c r="D270" t="s">
        <v>137</v>
      </c>
      <c r="E270" t="s">
        <v>54</v>
      </c>
      <c r="F270" t="s">
        <v>54</v>
      </c>
      <c r="G270">
        <v>3</v>
      </c>
      <c r="H270" t="s">
        <v>55</v>
      </c>
      <c r="I270">
        <v>420900</v>
      </c>
      <c r="J270">
        <v>28900</v>
      </c>
      <c r="K270">
        <v>0.23</v>
      </c>
      <c r="L270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70">
        <v>0</v>
      </c>
      <c r="N270">
        <v>0</v>
      </c>
      <c r="O270">
        <v>0</v>
      </c>
      <c r="P270">
        <v>47108.068500000001</v>
      </c>
      <c r="Q270">
        <v>122298</v>
      </c>
      <c r="R270">
        <f>(Granger_Inventory[[#This Row],[ln_acres]]*Granger_Inventory[[#This Row],[coeff]])+Granger_Inventory[[#This Row],[const]]</f>
        <v>53064.403729659418</v>
      </c>
      <c r="S270" t="s">
        <v>62</v>
      </c>
      <c r="T270">
        <v>2</v>
      </c>
      <c r="U270" t="s">
        <v>64</v>
      </c>
      <c r="V270" t="s">
        <v>72</v>
      </c>
      <c r="W270">
        <v>0</v>
      </c>
      <c r="X270">
        <v>0</v>
      </c>
      <c r="Y270">
        <v>50</v>
      </c>
      <c r="Z270">
        <v>73</v>
      </c>
      <c r="AA270">
        <v>80</v>
      </c>
      <c r="AB270">
        <v>3000</v>
      </c>
      <c r="AC270">
        <v>2536</v>
      </c>
      <c r="AD270">
        <v>1223</v>
      </c>
      <c r="AE270">
        <v>720</v>
      </c>
      <c r="AF270">
        <v>0</v>
      </c>
      <c r="AG270">
        <v>593</v>
      </c>
      <c r="AH270">
        <v>0</v>
      </c>
      <c r="AI270">
        <v>0</v>
      </c>
      <c r="AJ270">
        <v>720</v>
      </c>
      <c r="AK270">
        <v>312</v>
      </c>
      <c r="AL270">
        <v>312</v>
      </c>
      <c r="AM270">
        <v>180</v>
      </c>
      <c r="AN270">
        <v>99</v>
      </c>
      <c r="AO270">
        <v>312</v>
      </c>
      <c r="AP270">
        <v>8</v>
      </c>
      <c r="AQ270">
        <v>0</v>
      </c>
      <c r="AR270">
        <v>1</v>
      </c>
      <c r="AS270" t="s">
        <v>59</v>
      </c>
      <c r="AT270">
        <v>1</v>
      </c>
      <c r="AU270" t="s">
        <v>60</v>
      </c>
      <c r="AV270" t="s">
        <v>65</v>
      </c>
      <c r="AW270">
        <v>1</v>
      </c>
      <c r="AX270">
        <v>4</v>
      </c>
      <c r="AY270">
        <v>0</v>
      </c>
      <c r="AZ270">
        <v>64200</v>
      </c>
      <c r="BA270">
        <v>100</v>
      </c>
      <c r="BB270">
        <v>100</v>
      </c>
      <c r="BC270">
        <v>100</v>
      </c>
      <c r="BD270">
        <v>100</v>
      </c>
      <c r="BE270">
        <v>1</v>
      </c>
      <c r="BF270">
        <v>15000</v>
      </c>
      <c r="BG270">
        <v>1000</v>
      </c>
      <c r="BH270" s="8">
        <f>Granger_Inventory[[#This Row],[land_extract]]*Lookups!$B$3</f>
        <v>31612.09968539299</v>
      </c>
      <c r="BI270" s="8">
        <f>IF(Granger_Inventory[[#This Row],[bldg_style]]="",0,Lookups!$B$2)</f>
        <v>29703.559000000001</v>
      </c>
      <c r="BJ270" s="8">
        <f>_xlfn.IFNA(VLOOKUP(Granger_Inventory[[#This Row],[quality]],Lookups!$H$2:$J$14,3,FALSE),0)</f>
        <v>36568</v>
      </c>
      <c r="BK270" s="8">
        <f>_xlfn.IFNA(VLOOKUP(Granger_Inventory[[#This Row],[condition]],Lookups!$H$17:$J$24,3,FALSE),0)</f>
        <v>94106</v>
      </c>
      <c r="BL270" s="8">
        <f>Granger_Inventory[[#This Row],[Age]]*Lookups!$B$16</f>
        <v>-15135.1703</v>
      </c>
      <c r="BM270" s="8">
        <f>Granger_Inventory[[#This Row],[living_area]]*Lookups!$B$17</f>
        <v>170604.097224</v>
      </c>
      <c r="BN270" s="8">
        <f>(Granger_Inventory[[#This Row],[att_gar]]+Granger_Inventory[[#This Row],[blt_gar]])*Lookups!$B$18</f>
        <v>34882.261920000004</v>
      </c>
      <c r="BO270" s="8">
        <f>Granger_Inventory[[#This Row],[Patio]]*Lookups!$B$19</f>
        <v>9776.7172799999989</v>
      </c>
      <c r="BP270" s="8">
        <f>SUM(Granger_Inventory[[#This Row],[Intercept]:[Patio_Value]])*Granger_Inventory[[#This Row],[res_pct]]</f>
        <v>360505.46512400004</v>
      </c>
      <c r="BQ270" s="8">
        <f>Granger_Inventory[[#This Row],[land_value]]</f>
        <v>31612.09968539299</v>
      </c>
      <c r="BR270" s="4">
        <f>_xlfn.IFNA(VLOOKUP(Granger_Inventory[[#This Row],[quality]],Lookups!$A$25:$C$35,3,FALSE),1)</f>
        <v>0.99049976351917957</v>
      </c>
      <c r="BS270" s="4">
        <f>_xlfn.IFNA(VLOOKUP(Granger_Inventory[[#This Row],[condition]],Lookups!$A$38:$C$45,3,FALSE),1)</f>
        <v>0.98658583151544277</v>
      </c>
      <c r="BT270" s="4">
        <f>IF(Granger_Inventory[[#This Row],[decade]]="",1,_xlfn.IFNA(VLOOKUP(Granger_Inventory[[#This Row],[decade]],Lookups!$G$28:$I$42,3,FALSE),1))</f>
        <v>0.76006056002554967</v>
      </c>
      <c r="BU270" s="4">
        <f>_xlfn.IFNA(VLOOKUP(Granger_Inventory[[#This Row],[living_area_range]],Lookups!$A$48:$C$57,3,FALSE),1)</f>
        <v>0.99995754169072248</v>
      </c>
      <c r="BV270" s="4">
        <f>AVERAGE(Granger_Inventory[[#This Row],[qual_adj]:[living_range_adj]])</f>
        <v>0.93427592418772365</v>
      </c>
      <c r="BW270" s="8">
        <f>(Granger_Inventory[[#This Row],[sum_land]]-IF(Granger_Inventory[[#This Row],[no_utilities]]=1,12000,0))/IF(Granger_Inventory[[#This Row],[unbuildable]]=1,2,1)</f>
        <v>31612.09968539299</v>
      </c>
      <c r="BX270" s="8">
        <f>Granger_Inventory[[#This Row],[pre_res]]*Granger_Inventory[[#This Row],[overall_adj]]</f>
        <v>336811.57660345029</v>
      </c>
      <c r="BY270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70">
        <f>ROUND(Granger_Inventory[[#This Row],[detatched_value]]*Lookups!$I$45,-2)</f>
        <v>61000</v>
      </c>
      <c r="CA270">
        <f>IF(ROUND(Granger_Inventory[[#This Row],[adj_res]]*Lookups!$I$45,-2)&lt;Granger_Inventory[[#This Row],[min_res]],Granger_Inventory[[#This Row],[min_res]],ROUND(Granger_Inventory[[#This Row],[adj_res]]*Lookups!$I$45,-2))</f>
        <v>320000</v>
      </c>
      <c r="CB270">
        <f>Granger_Inventory[[#This Row],[final_det]]+Granger_Inventory[[#This Row],[final_res]]</f>
        <v>381000</v>
      </c>
      <c r="CC270">
        <f>Granger_Inventory[[#This Row],[final_land]]+Granger_Inventory[[#This Row],[final_imp]]+Granger_Inventory[[#This Row],[crop_value]]</f>
        <v>411000</v>
      </c>
      <c r="CE270" t="str">
        <f t="shared" si="4"/>
        <v>update valuation set market_land =30000, market_bldg=381000, market_total =411000, market_mdno =402, market_date ='9/10/2023' where link_id = (select link_id from parcel where parcel_year = '2024' and parcel_id = '21102111498');</v>
      </c>
    </row>
    <row r="271" spans="1:83" x14ac:dyDescent="0.25">
      <c r="A271">
        <v>21102111499</v>
      </c>
      <c r="B271">
        <v>0.28000000000000003</v>
      </c>
      <c r="C271">
        <v>12258</v>
      </c>
      <c r="D271" t="s">
        <v>137</v>
      </c>
      <c r="E271" t="s">
        <v>54</v>
      </c>
      <c r="F271" t="s">
        <v>54</v>
      </c>
      <c r="G271">
        <v>3</v>
      </c>
      <c r="H271" t="s">
        <v>55</v>
      </c>
      <c r="I271">
        <v>22100</v>
      </c>
      <c r="J271">
        <v>30000</v>
      </c>
      <c r="K271">
        <v>0.28000000000000003</v>
      </c>
      <c r="L271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271">
        <v>0</v>
      </c>
      <c r="N271">
        <v>0</v>
      </c>
      <c r="O271">
        <v>0</v>
      </c>
      <c r="P271">
        <v>47108.068500000001</v>
      </c>
      <c r="Q271">
        <v>122298</v>
      </c>
      <c r="R271">
        <f>(Granger_Inventory[[#This Row],[ln_acres]]*Granger_Inventory[[#This Row],[coeff]])+Granger_Inventory[[#This Row],[const]]</f>
        <v>62331.045745657706</v>
      </c>
      <c r="S271" t="s">
        <v>69</v>
      </c>
      <c r="T271">
        <v>1</v>
      </c>
      <c r="U271" t="s">
        <v>106</v>
      </c>
      <c r="V271" t="s">
        <v>82</v>
      </c>
      <c r="W271">
        <v>0</v>
      </c>
      <c r="X271">
        <v>0</v>
      </c>
      <c r="Y271">
        <v>53</v>
      </c>
      <c r="Z271">
        <v>93</v>
      </c>
      <c r="AA271">
        <v>100</v>
      </c>
      <c r="AB271">
        <v>1500</v>
      </c>
      <c r="AC271">
        <v>1152</v>
      </c>
      <c r="AD271">
        <v>1152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176</v>
      </c>
      <c r="AL271">
        <v>0</v>
      </c>
      <c r="AM271">
        <v>0</v>
      </c>
      <c r="AN271">
        <v>0</v>
      </c>
      <c r="AO271">
        <v>140</v>
      </c>
      <c r="AP271">
        <v>5</v>
      </c>
      <c r="AQ271">
        <v>0</v>
      </c>
      <c r="AR271">
        <v>0</v>
      </c>
      <c r="AS271" t="s">
        <v>139</v>
      </c>
      <c r="AT271">
        <v>1</v>
      </c>
      <c r="AU271" t="s">
        <v>68</v>
      </c>
      <c r="AV271" t="s">
        <v>65</v>
      </c>
      <c r="AW271">
        <v>0</v>
      </c>
      <c r="AX271">
        <v>3</v>
      </c>
      <c r="AY271">
        <v>0</v>
      </c>
      <c r="AZ271">
        <v>0</v>
      </c>
      <c r="BA271">
        <v>100</v>
      </c>
      <c r="BB271">
        <v>100</v>
      </c>
      <c r="BC271">
        <v>100</v>
      </c>
      <c r="BD271">
        <v>100</v>
      </c>
      <c r="BE271">
        <v>1</v>
      </c>
      <c r="BF271">
        <v>15000</v>
      </c>
      <c r="BG271">
        <v>1000</v>
      </c>
      <c r="BH271" s="8">
        <f>Granger_Inventory[[#This Row],[land_extract]]*Lookups!$B$3</f>
        <v>37132.523746897263</v>
      </c>
      <c r="BI271" s="8">
        <f>IF(Granger_Inventory[[#This Row],[bldg_style]]="",0,Lookups!$B$2)</f>
        <v>29703.559000000001</v>
      </c>
      <c r="BJ271" s="8">
        <f>_xlfn.IFNA(VLOOKUP(Granger_Inventory[[#This Row],[quality]],Lookups!$H$2:$J$14,3,FALSE),0)</f>
        <v>17985.540667792327</v>
      </c>
      <c r="BK271" s="8">
        <f>_xlfn.IFNA(VLOOKUP(Granger_Inventory[[#This Row],[condition]],Lookups!$H$17:$J$24,3,FALSE),0)</f>
        <v>27308</v>
      </c>
      <c r="BL271" s="8">
        <f>Granger_Inventory[[#This Row],[Age]]*Lookups!$B$16</f>
        <v>-19281.792300000001</v>
      </c>
      <c r="BM271" s="8">
        <f>Granger_Inventory[[#This Row],[living_area]]*Lookups!$B$17</f>
        <v>77498.391168000002</v>
      </c>
      <c r="BN271" s="8">
        <f>(Granger_Inventory[[#This Row],[att_gar]]+Granger_Inventory[[#This Row],[blt_gar]])*Lookups!$B$18</f>
        <v>0</v>
      </c>
      <c r="BO271" s="8">
        <f>Granger_Inventory[[#This Row],[Patio]]*Lookups!$B$19</f>
        <v>0</v>
      </c>
      <c r="BP271" s="8">
        <f>SUM(Granger_Inventory[[#This Row],[Intercept]:[Patio_Value]])*Granger_Inventory[[#This Row],[res_pct]]</f>
        <v>133213.69853579233</v>
      </c>
      <c r="BQ271" s="8">
        <f>Granger_Inventory[[#This Row],[land_value]]</f>
        <v>37132.523746897263</v>
      </c>
      <c r="BR271" s="4">
        <f>_xlfn.IFNA(VLOOKUP(Granger_Inventory[[#This Row],[quality]],Lookups!$A$25:$C$35,3,FALSE),1)</f>
        <v>0.77695375541795109</v>
      </c>
      <c r="BS271" s="4">
        <f>_xlfn.IFNA(VLOOKUP(Granger_Inventory[[#This Row],[condition]],Lookups!$A$38:$C$45,3,FALSE),1)</f>
        <v>0.59507759803100935</v>
      </c>
      <c r="BT271" s="4">
        <f>IF(Granger_Inventory[[#This Row],[decade]]="",1,_xlfn.IFNA(VLOOKUP(Granger_Inventory[[#This Row],[decade]],Lookups!$G$28:$I$42,3,FALSE),1))</f>
        <v>0.879441629375324</v>
      </c>
      <c r="BU271" s="4">
        <f>_xlfn.IFNA(VLOOKUP(Granger_Inventory[[#This Row],[living_area_range]],Lookups!$A$48:$C$57,3,FALSE),1)</f>
        <v>0.97960506760539345</v>
      </c>
      <c r="BV271" s="4">
        <f>AVERAGE(Granger_Inventory[[#This Row],[qual_adj]:[living_range_adj]])</f>
        <v>0.80776951260741958</v>
      </c>
      <c r="BW271" s="8">
        <f>(Granger_Inventory[[#This Row],[sum_land]]-IF(Granger_Inventory[[#This Row],[no_utilities]]=1,12000,0))/IF(Granger_Inventory[[#This Row],[unbuildable]]=1,2,1)</f>
        <v>37132.523746897263</v>
      </c>
      <c r="BX271" s="8">
        <f>Granger_Inventory[[#This Row],[pre_res]]*Granger_Inventory[[#This Row],[overall_adj]]</f>
        <v>107605.96433888869</v>
      </c>
      <c r="BY271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271">
        <f>ROUND(Granger_Inventory[[#This Row],[detatched_value]]*Lookups!$I$45,-2)</f>
        <v>0</v>
      </c>
      <c r="CA271">
        <f>IF(ROUND(Granger_Inventory[[#This Row],[adj_res]]*Lookups!$I$45,-2)&lt;Granger_Inventory[[#This Row],[min_res]],Granger_Inventory[[#This Row],[min_res]],ROUND(Granger_Inventory[[#This Row],[adj_res]]*Lookups!$I$45,-2))</f>
        <v>102200</v>
      </c>
      <c r="CB271">
        <f>Granger_Inventory[[#This Row],[final_det]]+Granger_Inventory[[#This Row],[final_res]]</f>
        <v>102200</v>
      </c>
      <c r="CC271">
        <f>Granger_Inventory[[#This Row],[final_land]]+Granger_Inventory[[#This Row],[final_imp]]+Granger_Inventory[[#This Row],[crop_value]]</f>
        <v>137500</v>
      </c>
      <c r="CE271" t="str">
        <f t="shared" si="4"/>
        <v>update valuation set market_land =35300, market_bldg=102200, market_total =137500, market_mdno =402, market_date ='9/10/2023' where link_id = (select link_id from parcel where parcel_year = '2024' and parcel_id = '21102111499');</v>
      </c>
    </row>
    <row r="272" spans="1:83" x14ac:dyDescent="0.25">
      <c r="A272">
        <v>21102111500</v>
      </c>
      <c r="B272">
        <v>0.26</v>
      </c>
      <c r="C272" t="s">
        <v>137</v>
      </c>
      <c r="D272" t="s">
        <v>137</v>
      </c>
      <c r="E272" t="s">
        <v>54</v>
      </c>
      <c r="F272" t="s">
        <v>54</v>
      </c>
      <c r="G272">
        <v>3</v>
      </c>
      <c r="H272" t="s">
        <v>55</v>
      </c>
      <c r="I272">
        <v>288300</v>
      </c>
      <c r="J272">
        <v>29600</v>
      </c>
      <c r="K272">
        <v>0.26</v>
      </c>
      <c r="L272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272">
        <v>0</v>
      </c>
      <c r="N272">
        <v>0</v>
      </c>
      <c r="O272">
        <v>0</v>
      </c>
      <c r="P272">
        <v>47108.068500000001</v>
      </c>
      <c r="Q272">
        <v>122298</v>
      </c>
      <c r="R272">
        <f>(Granger_Inventory[[#This Row],[ln_acres]]*Granger_Inventory[[#This Row],[coeff]])+Granger_Inventory[[#This Row],[const]]</f>
        <v>58839.962317044083</v>
      </c>
      <c r="S272" t="s">
        <v>62</v>
      </c>
      <c r="T272">
        <v>1</v>
      </c>
      <c r="U272" t="s">
        <v>64</v>
      </c>
      <c r="V272" t="s">
        <v>58</v>
      </c>
      <c r="W272">
        <v>0</v>
      </c>
      <c r="X272">
        <v>0</v>
      </c>
      <c r="Y272">
        <v>3</v>
      </c>
      <c r="Z272">
        <v>3</v>
      </c>
      <c r="AA272">
        <v>10</v>
      </c>
      <c r="AB272">
        <v>2000</v>
      </c>
      <c r="AC272">
        <v>1806</v>
      </c>
      <c r="AD272">
        <v>1806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18</v>
      </c>
      <c r="AO272">
        <v>0</v>
      </c>
      <c r="AP272">
        <v>8</v>
      </c>
      <c r="AQ272">
        <v>0</v>
      </c>
      <c r="AR272">
        <v>0</v>
      </c>
      <c r="AS272" t="s">
        <v>59</v>
      </c>
      <c r="AT272">
        <v>1</v>
      </c>
      <c r="AU272" t="s">
        <v>63</v>
      </c>
      <c r="AV272" t="s">
        <v>65</v>
      </c>
      <c r="AW272">
        <v>1</v>
      </c>
      <c r="AX272">
        <v>4</v>
      </c>
      <c r="AY272">
        <v>0</v>
      </c>
      <c r="AZ272">
        <v>0</v>
      </c>
      <c r="BA272">
        <v>100</v>
      </c>
      <c r="BB272">
        <v>100</v>
      </c>
      <c r="BC272">
        <v>100</v>
      </c>
      <c r="BD272">
        <v>100</v>
      </c>
      <c r="BE272">
        <v>1</v>
      </c>
      <c r="BF272">
        <v>15000</v>
      </c>
      <c r="BG272">
        <v>1000</v>
      </c>
      <c r="BH272" s="8">
        <f>Granger_Inventory[[#This Row],[land_extract]]*Lookups!$B$3</f>
        <v>35052.777823102522</v>
      </c>
      <c r="BI272" s="8">
        <f>IF(Granger_Inventory[[#This Row],[bldg_style]]="",0,Lookups!$B$2)</f>
        <v>29703.559000000001</v>
      </c>
      <c r="BJ272" s="8">
        <f>_xlfn.IFNA(VLOOKUP(Granger_Inventory[[#This Row],[quality]],Lookups!$H$2:$J$14,3,FALSE),0)</f>
        <v>36568</v>
      </c>
      <c r="BK272" s="8">
        <f>_xlfn.IFNA(VLOOKUP(Granger_Inventory[[#This Row],[condition]],Lookups!$H$17:$J$24,3,FALSE),0)</f>
        <v>101774</v>
      </c>
      <c r="BL272" s="8">
        <f>Granger_Inventory[[#This Row],[Age]]*Lookups!$B$16</f>
        <v>-621.99329999999998</v>
      </c>
      <c r="BM272" s="8">
        <f>Granger_Inventory[[#This Row],[living_area]]*Lookups!$B$17</f>
        <v>121494.873654</v>
      </c>
      <c r="BN272" s="8">
        <f>(Granger_Inventory[[#This Row],[att_gar]]+Granger_Inventory[[#This Row],[blt_gar]])*Lookups!$B$18</f>
        <v>0</v>
      </c>
      <c r="BO272" s="8">
        <f>Granger_Inventory[[#This Row],[Patio]]*Lookups!$B$19</f>
        <v>0</v>
      </c>
      <c r="BP272" s="8">
        <f>SUM(Granger_Inventory[[#This Row],[Intercept]:[Patio_Value]])*Granger_Inventory[[#This Row],[res_pct]]</f>
        <v>288918.43935400003</v>
      </c>
      <c r="BQ272" s="8">
        <f>Granger_Inventory[[#This Row],[land_value]]</f>
        <v>35052.777823102522</v>
      </c>
      <c r="BR272" s="4">
        <f>_xlfn.IFNA(VLOOKUP(Granger_Inventory[[#This Row],[quality]],Lookups!$A$25:$C$35,3,FALSE),1)</f>
        <v>0.99049976351917957</v>
      </c>
      <c r="BS272" s="4">
        <f>_xlfn.IFNA(VLOOKUP(Granger_Inventory[[#This Row],[condition]],Lookups!$A$38:$C$45,3,FALSE),1)</f>
        <v>0.99135053432734199</v>
      </c>
      <c r="BT272" s="4">
        <f>IF(Granger_Inventory[[#This Row],[decade]]="",1,_xlfn.IFNA(VLOOKUP(Granger_Inventory[[#This Row],[decade]],Lookups!$G$28:$I$42,3,FALSE),1))</f>
        <v>0.95532362136731586</v>
      </c>
      <c r="BU272" s="4">
        <f>_xlfn.IFNA(VLOOKUP(Granger_Inventory[[#This Row],[living_area_range]],Lookups!$A$48:$C$57,3,FALSE),1)</f>
        <v>0.97860968051050168</v>
      </c>
      <c r="BV272" s="4">
        <f>AVERAGE(Granger_Inventory[[#This Row],[qual_adj]:[living_range_adj]])</f>
        <v>0.97894589993108483</v>
      </c>
      <c r="BW272" s="8">
        <f>(Granger_Inventory[[#This Row],[sum_land]]-IF(Granger_Inventory[[#This Row],[no_utilities]]=1,12000,0))/IF(Granger_Inventory[[#This Row],[unbuildable]]=1,2,1)</f>
        <v>35052.777823102522</v>
      </c>
      <c r="BX272" s="8">
        <f>Granger_Inventory[[#This Row],[pre_res]]*Granger_Inventory[[#This Row],[overall_adj]]</f>
        <v>282835.5216200861</v>
      </c>
      <c r="BY272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272">
        <f>ROUND(Granger_Inventory[[#This Row],[detatched_value]]*Lookups!$I$45,-2)</f>
        <v>0</v>
      </c>
      <c r="CA272">
        <f>IF(ROUND(Granger_Inventory[[#This Row],[adj_res]]*Lookups!$I$45,-2)&lt;Granger_Inventory[[#This Row],[min_res]],Granger_Inventory[[#This Row],[min_res]],ROUND(Granger_Inventory[[#This Row],[adj_res]]*Lookups!$I$45,-2))</f>
        <v>268700</v>
      </c>
      <c r="CB272">
        <f>Granger_Inventory[[#This Row],[final_det]]+Granger_Inventory[[#This Row],[final_res]]</f>
        <v>268700</v>
      </c>
      <c r="CC272">
        <f>Granger_Inventory[[#This Row],[final_land]]+Granger_Inventory[[#This Row],[final_imp]]+Granger_Inventory[[#This Row],[crop_value]]</f>
        <v>302000</v>
      </c>
      <c r="CE272" t="str">
        <f t="shared" si="4"/>
        <v>update valuation set market_land =33300, market_bldg=268700, market_total =302000, market_mdno =402, market_date ='9/10/2023' where link_id = (select link_id from parcel where parcel_year = '2024' and parcel_id = '21102111500');</v>
      </c>
    </row>
    <row r="273" spans="1:83" x14ac:dyDescent="0.25">
      <c r="A273">
        <v>21102111507</v>
      </c>
      <c r="B273">
        <v>0.24</v>
      </c>
      <c r="C273">
        <v>10361</v>
      </c>
      <c r="D273" t="s">
        <v>137</v>
      </c>
      <c r="E273" t="s">
        <v>54</v>
      </c>
      <c r="F273" t="s">
        <v>54</v>
      </c>
      <c r="G273">
        <v>3</v>
      </c>
      <c r="H273" t="s">
        <v>55</v>
      </c>
      <c r="I273">
        <v>297300</v>
      </c>
      <c r="J273">
        <v>29100</v>
      </c>
      <c r="K273">
        <v>0.24</v>
      </c>
      <c r="L273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273">
        <v>0</v>
      </c>
      <c r="N273">
        <v>0</v>
      </c>
      <c r="O273">
        <v>0</v>
      </c>
      <c r="P273">
        <v>47108.068500000001</v>
      </c>
      <c r="Q273">
        <v>122298</v>
      </c>
      <c r="R273">
        <f>(Granger_Inventory[[#This Row],[ln_acres]]*Granger_Inventory[[#This Row],[coeff]])+Granger_Inventory[[#This Row],[const]]</f>
        <v>55069.304961033646</v>
      </c>
      <c r="S273" t="s">
        <v>69</v>
      </c>
      <c r="T273">
        <v>1</v>
      </c>
      <c r="U273" t="s">
        <v>64</v>
      </c>
      <c r="V273" t="s">
        <v>58</v>
      </c>
      <c r="W273">
        <v>0</v>
      </c>
      <c r="X273">
        <v>0</v>
      </c>
      <c r="Y273">
        <v>8</v>
      </c>
      <c r="Z273">
        <v>8</v>
      </c>
      <c r="AA273">
        <v>10</v>
      </c>
      <c r="AB273">
        <v>2000</v>
      </c>
      <c r="AC273">
        <v>1947</v>
      </c>
      <c r="AD273">
        <v>1947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24</v>
      </c>
      <c r="AM273">
        <v>50</v>
      </c>
      <c r="AN273">
        <v>351</v>
      </c>
      <c r="AO273">
        <v>24</v>
      </c>
      <c r="AP273">
        <v>8</v>
      </c>
      <c r="AQ273">
        <v>1</v>
      </c>
      <c r="AR273">
        <v>0</v>
      </c>
      <c r="AS273" t="s">
        <v>59</v>
      </c>
      <c r="AT273">
        <v>1</v>
      </c>
      <c r="AU273" t="s">
        <v>60</v>
      </c>
      <c r="AV273" t="s">
        <v>65</v>
      </c>
      <c r="AW273">
        <v>1</v>
      </c>
      <c r="AX273">
        <v>4</v>
      </c>
      <c r="AY273">
        <v>0</v>
      </c>
      <c r="AZ273">
        <v>7400</v>
      </c>
      <c r="BA273">
        <v>100</v>
      </c>
      <c r="BB273">
        <v>100</v>
      </c>
      <c r="BC273">
        <v>100</v>
      </c>
      <c r="BD273">
        <v>100</v>
      </c>
      <c r="BE273">
        <v>1</v>
      </c>
      <c r="BF273">
        <v>15000</v>
      </c>
      <c r="BG273">
        <v>1000</v>
      </c>
      <c r="BH273" s="8">
        <f>Granger_Inventory[[#This Row],[land_extract]]*Lookups!$B$3</f>
        <v>32806.481099880541</v>
      </c>
      <c r="BI273" s="8">
        <f>IF(Granger_Inventory[[#This Row],[bldg_style]]="",0,Lookups!$B$2)</f>
        <v>29703.559000000001</v>
      </c>
      <c r="BJ273" s="8">
        <f>_xlfn.IFNA(VLOOKUP(Granger_Inventory[[#This Row],[quality]],Lookups!$H$2:$J$14,3,FALSE),0)</f>
        <v>36568</v>
      </c>
      <c r="BK273" s="8">
        <f>_xlfn.IFNA(VLOOKUP(Granger_Inventory[[#This Row],[condition]],Lookups!$H$17:$J$24,3,FALSE),0)</f>
        <v>101774</v>
      </c>
      <c r="BL273" s="8">
        <f>Granger_Inventory[[#This Row],[Age]]*Lookups!$B$16</f>
        <v>-1658.6487999999999</v>
      </c>
      <c r="BM273" s="8">
        <f>Granger_Inventory[[#This Row],[living_area]]*Lookups!$B$17</f>
        <v>130980.353823</v>
      </c>
      <c r="BN273" s="8">
        <f>(Granger_Inventory[[#This Row],[att_gar]]+Granger_Inventory[[#This Row],[blt_gar]])*Lookups!$B$18</f>
        <v>0</v>
      </c>
      <c r="BO273" s="8">
        <f>Granger_Inventory[[#This Row],[Patio]]*Lookups!$B$19</f>
        <v>2715.7547999999997</v>
      </c>
      <c r="BP273" s="8">
        <f>SUM(Granger_Inventory[[#This Row],[Intercept]:[Patio_Value]])*Granger_Inventory[[#This Row],[res_pct]]</f>
        <v>300083.01882300002</v>
      </c>
      <c r="BQ273" s="8">
        <f>Granger_Inventory[[#This Row],[land_value]]</f>
        <v>32806.481099880541</v>
      </c>
      <c r="BR273" s="4">
        <f>_xlfn.IFNA(VLOOKUP(Granger_Inventory[[#This Row],[quality]],Lookups!$A$25:$C$35,3,FALSE),1)</f>
        <v>0.99049976351917957</v>
      </c>
      <c r="BS273" s="4">
        <f>_xlfn.IFNA(VLOOKUP(Granger_Inventory[[#This Row],[condition]],Lookups!$A$38:$C$45,3,FALSE),1)</f>
        <v>0.99135053432734199</v>
      </c>
      <c r="BT273" s="4">
        <f>IF(Granger_Inventory[[#This Row],[decade]]="",1,_xlfn.IFNA(VLOOKUP(Granger_Inventory[[#This Row],[decade]],Lookups!$G$28:$I$42,3,FALSE),1))</f>
        <v>0.95532362136731586</v>
      </c>
      <c r="BU273" s="4">
        <f>_xlfn.IFNA(VLOOKUP(Granger_Inventory[[#This Row],[living_area_range]],Lookups!$A$48:$C$57,3,FALSE),1)</f>
        <v>0.97860968051050168</v>
      </c>
      <c r="BV273" s="4">
        <f>AVERAGE(Granger_Inventory[[#This Row],[qual_adj]:[living_range_adj]])</f>
        <v>0.97894589993108483</v>
      </c>
      <c r="BW273" s="8">
        <f>(Granger_Inventory[[#This Row],[sum_land]]-IF(Granger_Inventory[[#This Row],[no_utilities]]=1,12000,0))/IF(Granger_Inventory[[#This Row],[unbuildable]]=1,2,1)</f>
        <v>32806.481099880541</v>
      </c>
      <c r="BX273" s="8">
        <f>Granger_Inventory[[#This Row],[pre_res]]*Granger_Inventory[[#This Row],[overall_adj]]</f>
        <v>293765.04091571842</v>
      </c>
      <c r="BY273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273">
        <f>ROUND(Granger_Inventory[[#This Row],[detatched_value]]*Lookups!$I$45,-2)</f>
        <v>7000</v>
      </c>
      <c r="CA273">
        <f>IF(ROUND(Granger_Inventory[[#This Row],[adj_res]]*Lookups!$I$45,-2)&lt;Granger_Inventory[[#This Row],[min_res]],Granger_Inventory[[#This Row],[min_res]],ROUND(Granger_Inventory[[#This Row],[adj_res]]*Lookups!$I$45,-2))</f>
        <v>279100</v>
      </c>
      <c r="CB273">
        <f>Granger_Inventory[[#This Row],[final_det]]+Granger_Inventory[[#This Row],[final_res]]</f>
        <v>286100</v>
      </c>
      <c r="CC273">
        <f>Granger_Inventory[[#This Row],[final_land]]+Granger_Inventory[[#This Row],[final_imp]]+Granger_Inventory[[#This Row],[crop_value]]</f>
        <v>317300</v>
      </c>
      <c r="CE273" t="str">
        <f t="shared" si="4"/>
        <v>update valuation set market_land =31200, market_bldg=286100, market_total =317300, market_mdno =402, market_date ='9/10/2023' where link_id = (select link_id from parcel where parcel_year = '2024' and parcel_id = '21102111507');</v>
      </c>
    </row>
    <row r="274" spans="1:83" x14ac:dyDescent="0.25">
      <c r="A274">
        <v>21102111514</v>
      </c>
      <c r="B274">
        <v>0.2</v>
      </c>
      <c r="C274">
        <v>8529</v>
      </c>
      <c r="D274" t="s">
        <v>137</v>
      </c>
      <c r="E274" t="s">
        <v>54</v>
      </c>
      <c r="F274" t="s">
        <v>54</v>
      </c>
      <c r="G274">
        <v>3</v>
      </c>
      <c r="H274" t="s">
        <v>55</v>
      </c>
      <c r="I274">
        <v>233300</v>
      </c>
      <c r="J274">
        <v>28000</v>
      </c>
      <c r="K274">
        <v>0.2</v>
      </c>
      <c r="L274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74">
        <v>0</v>
      </c>
      <c r="N274">
        <v>0</v>
      </c>
      <c r="O274">
        <v>0</v>
      </c>
      <c r="P274">
        <v>47108.068500000001</v>
      </c>
      <c r="Q274">
        <v>122298</v>
      </c>
      <c r="R274">
        <f>(Granger_Inventory[[#This Row],[ln_acres]]*Granger_Inventory[[#This Row],[coeff]])+Granger_Inventory[[#This Row],[const]]</f>
        <v>46480.488574557399</v>
      </c>
      <c r="S274" t="s">
        <v>69</v>
      </c>
      <c r="T274">
        <v>1</v>
      </c>
      <c r="U274" t="s">
        <v>71</v>
      </c>
      <c r="V274" t="s">
        <v>72</v>
      </c>
      <c r="W274">
        <v>0</v>
      </c>
      <c r="X274">
        <v>0</v>
      </c>
      <c r="Y274">
        <v>53</v>
      </c>
      <c r="Z274">
        <v>92</v>
      </c>
      <c r="AA274">
        <v>100</v>
      </c>
      <c r="AB274">
        <v>1500</v>
      </c>
      <c r="AC274">
        <v>1170</v>
      </c>
      <c r="AD274">
        <v>1170</v>
      </c>
      <c r="AE274">
        <v>0</v>
      </c>
      <c r="AF274">
        <v>0</v>
      </c>
      <c r="AG274">
        <v>0</v>
      </c>
      <c r="AH274">
        <v>0</v>
      </c>
      <c r="AI274">
        <v>520</v>
      </c>
      <c r="AJ274">
        <v>0</v>
      </c>
      <c r="AK274">
        <v>0</v>
      </c>
      <c r="AL274">
        <v>0</v>
      </c>
      <c r="AM274">
        <v>0</v>
      </c>
      <c r="AN274">
        <v>306</v>
      </c>
      <c r="AO274">
        <v>0</v>
      </c>
      <c r="AP274">
        <v>8</v>
      </c>
      <c r="AQ274">
        <v>0</v>
      </c>
      <c r="AR274">
        <v>0</v>
      </c>
      <c r="AS274" t="s">
        <v>59</v>
      </c>
      <c r="AT274">
        <v>1</v>
      </c>
      <c r="AU274" t="s">
        <v>68</v>
      </c>
      <c r="AV274" t="s">
        <v>65</v>
      </c>
      <c r="AW274">
        <v>0</v>
      </c>
      <c r="AX274">
        <v>4</v>
      </c>
      <c r="AY274">
        <v>0</v>
      </c>
      <c r="AZ274">
        <v>3300</v>
      </c>
      <c r="BA274">
        <v>100</v>
      </c>
      <c r="BB274">
        <v>100</v>
      </c>
      <c r="BC274">
        <v>100</v>
      </c>
      <c r="BD274">
        <v>100</v>
      </c>
      <c r="BE274">
        <v>1</v>
      </c>
      <c r="BF274">
        <v>15000</v>
      </c>
      <c r="BG274">
        <v>1000</v>
      </c>
      <c r="BH274" s="8">
        <f>Granger_Inventory[[#This Row],[land_extract]]*Lookups!$B$3</f>
        <v>27689.858642911939</v>
      </c>
      <c r="BI274" s="8">
        <f>IF(Granger_Inventory[[#This Row],[bldg_style]]="",0,Lookups!$B$2)</f>
        <v>29703.559000000001</v>
      </c>
      <c r="BJ274" s="8">
        <f>_xlfn.IFNA(VLOOKUP(Granger_Inventory[[#This Row],[quality]],Lookups!$H$2:$J$14,3,FALSE),0)</f>
        <v>34195</v>
      </c>
      <c r="BK274" s="8">
        <f>_xlfn.IFNA(VLOOKUP(Granger_Inventory[[#This Row],[condition]],Lookups!$H$17:$J$24,3,FALSE),0)</f>
        <v>94106</v>
      </c>
      <c r="BL274" s="8">
        <f>Granger_Inventory[[#This Row],[Age]]*Lookups!$B$16</f>
        <v>-19074.461199999998</v>
      </c>
      <c r="BM274" s="8">
        <f>Granger_Inventory[[#This Row],[living_area]]*Lookups!$B$17</f>
        <v>78709.303530000005</v>
      </c>
      <c r="BN274" s="8">
        <f>(Granger_Inventory[[#This Row],[att_gar]]+Granger_Inventory[[#This Row],[blt_gar]])*Lookups!$B$18</f>
        <v>25192.744720000002</v>
      </c>
      <c r="BO274" s="8">
        <f>Granger_Inventory[[#This Row],[Patio]]*Lookups!$B$19</f>
        <v>0</v>
      </c>
      <c r="BP274" s="8">
        <f>SUM(Granger_Inventory[[#This Row],[Intercept]:[Patio_Value]])*Granger_Inventory[[#This Row],[res_pct]]</f>
        <v>242832.14605000004</v>
      </c>
      <c r="BQ274" s="8">
        <f>Granger_Inventory[[#This Row],[land_value]]</f>
        <v>27689.858642911939</v>
      </c>
      <c r="BR274" s="4">
        <f>_xlfn.IFNA(VLOOKUP(Granger_Inventory[[#This Row],[quality]],Lookups!$A$25:$C$35,3,FALSE),1)</f>
        <v>0.98258795897788032</v>
      </c>
      <c r="BS274" s="4">
        <f>_xlfn.IFNA(VLOOKUP(Granger_Inventory[[#This Row],[condition]],Lookups!$A$38:$C$45,3,FALSE),1)</f>
        <v>0.98658583151544277</v>
      </c>
      <c r="BT274" s="4">
        <f>IF(Granger_Inventory[[#This Row],[decade]]="",1,_xlfn.IFNA(VLOOKUP(Granger_Inventory[[#This Row],[decade]],Lookups!$G$28:$I$42,3,FALSE),1))</f>
        <v>0.879441629375324</v>
      </c>
      <c r="BU274" s="4">
        <f>_xlfn.IFNA(VLOOKUP(Granger_Inventory[[#This Row],[living_area_range]],Lookups!$A$48:$C$57,3,FALSE),1)</f>
        <v>0.97960506760539345</v>
      </c>
      <c r="BV274" s="4">
        <f>AVERAGE(Granger_Inventory[[#This Row],[qual_adj]:[living_range_adj]])</f>
        <v>0.95705512186851016</v>
      </c>
      <c r="BW274" s="8">
        <f>(Granger_Inventory[[#This Row],[sum_land]]-IF(Granger_Inventory[[#This Row],[no_utilities]]=1,12000,0))/IF(Granger_Inventory[[#This Row],[unbuildable]]=1,2,1)</f>
        <v>27689.858642911939</v>
      </c>
      <c r="BX274" s="8">
        <f>Granger_Inventory[[#This Row],[pre_res]]*Granger_Inventory[[#This Row],[overall_adj]]</f>
        <v>232403.74913147464</v>
      </c>
      <c r="BY274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74">
        <f>ROUND(Granger_Inventory[[#This Row],[detatched_value]]*Lookups!$I$45,-2)</f>
        <v>3100</v>
      </c>
      <c r="CA274">
        <f>IF(ROUND(Granger_Inventory[[#This Row],[adj_res]]*Lookups!$I$45,-2)&lt;Granger_Inventory[[#This Row],[min_res]],Granger_Inventory[[#This Row],[min_res]],ROUND(Granger_Inventory[[#This Row],[adj_res]]*Lookups!$I$45,-2))</f>
        <v>220800</v>
      </c>
      <c r="CB274">
        <f>Granger_Inventory[[#This Row],[final_det]]+Granger_Inventory[[#This Row],[final_res]]</f>
        <v>223900</v>
      </c>
      <c r="CC274">
        <f>Granger_Inventory[[#This Row],[final_land]]+Granger_Inventory[[#This Row],[final_imp]]+Granger_Inventory[[#This Row],[crop_value]]</f>
        <v>250200</v>
      </c>
      <c r="CE274" t="str">
        <f t="shared" si="4"/>
        <v>update valuation set market_land =26300, market_bldg=223900, market_total =250200, market_mdno =402, market_date ='9/10/2023' where link_id = (select link_id from parcel where parcel_year = '2024' and parcel_id = '21102111514');</v>
      </c>
    </row>
    <row r="275" spans="1:83" x14ac:dyDescent="0.25">
      <c r="A275">
        <v>21102111516</v>
      </c>
      <c r="B275">
        <v>0.4</v>
      </c>
      <c r="C275">
        <v>17493</v>
      </c>
      <c r="D275" t="s">
        <v>137</v>
      </c>
      <c r="E275" t="s">
        <v>54</v>
      </c>
      <c r="F275" t="s">
        <v>54</v>
      </c>
      <c r="G275">
        <v>3</v>
      </c>
      <c r="H275" t="s">
        <v>55</v>
      </c>
      <c r="I275">
        <v>319900</v>
      </c>
      <c r="J275">
        <v>32100</v>
      </c>
      <c r="K275">
        <v>0.4</v>
      </c>
      <c r="L275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275">
        <v>0</v>
      </c>
      <c r="N275">
        <v>0</v>
      </c>
      <c r="O275">
        <v>0</v>
      </c>
      <c r="P275">
        <v>47108.068500000001</v>
      </c>
      <c r="Q275">
        <v>122298</v>
      </c>
      <c r="R275">
        <f>(Granger_Inventory[[#This Row],[ln_acres]]*Granger_Inventory[[#This Row],[coeff]])+Granger_Inventory[[#This Row],[const]]</f>
        <v>79133.313436957164</v>
      </c>
      <c r="S275" t="s">
        <v>80</v>
      </c>
      <c r="T275">
        <v>1</v>
      </c>
      <c r="U275" t="s">
        <v>61</v>
      </c>
      <c r="V275" t="s">
        <v>77</v>
      </c>
      <c r="W275">
        <v>0</v>
      </c>
      <c r="X275">
        <v>0</v>
      </c>
      <c r="Y275">
        <v>52</v>
      </c>
      <c r="Z275">
        <v>88</v>
      </c>
      <c r="AA275">
        <v>90</v>
      </c>
      <c r="AB275">
        <v>3000</v>
      </c>
      <c r="AC275">
        <v>2680</v>
      </c>
      <c r="AD275">
        <v>1400</v>
      </c>
      <c r="AE275">
        <v>0</v>
      </c>
      <c r="AF275">
        <v>1280</v>
      </c>
      <c r="AG275">
        <v>0</v>
      </c>
      <c r="AH275">
        <v>0</v>
      </c>
      <c r="AI275">
        <v>896</v>
      </c>
      <c r="AJ275">
        <v>0</v>
      </c>
      <c r="AK275">
        <v>0</v>
      </c>
      <c r="AL275">
        <v>0</v>
      </c>
      <c r="AM275">
        <v>0</v>
      </c>
      <c r="AN275">
        <v>360</v>
      </c>
      <c r="AO275">
        <v>0</v>
      </c>
      <c r="AP275">
        <v>12</v>
      </c>
      <c r="AQ275">
        <v>0</v>
      </c>
      <c r="AR275">
        <v>0</v>
      </c>
      <c r="AS275" t="s">
        <v>59</v>
      </c>
      <c r="AT275">
        <v>1</v>
      </c>
      <c r="AU275" t="s">
        <v>63</v>
      </c>
      <c r="AV275" t="s">
        <v>61</v>
      </c>
      <c r="AW275">
        <v>1</v>
      </c>
      <c r="AX275">
        <v>3</v>
      </c>
      <c r="AY275">
        <v>0</v>
      </c>
      <c r="AZ275">
        <v>7100</v>
      </c>
      <c r="BA275">
        <v>100</v>
      </c>
      <c r="BB275">
        <v>100</v>
      </c>
      <c r="BC275">
        <v>100</v>
      </c>
      <c r="BD275">
        <v>100</v>
      </c>
      <c r="BE275">
        <v>1</v>
      </c>
      <c r="BF275">
        <v>15000</v>
      </c>
      <c r="BG275">
        <v>1000</v>
      </c>
      <c r="BH275" s="8">
        <f>Granger_Inventory[[#This Row],[land_extract]]*Lookups!$B$3</f>
        <v>47142.152120449238</v>
      </c>
      <c r="BI275" s="8">
        <f>IF(Granger_Inventory[[#This Row],[bldg_style]]="",0,Lookups!$B$2)</f>
        <v>29703.559000000001</v>
      </c>
      <c r="BJ275" s="8">
        <f>_xlfn.IFNA(VLOOKUP(Granger_Inventory[[#This Row],[quality]],Lookups!$H$2:$J$14,3,FALSE),0)</f>
        <v>71767</v>
      </c>
      <c r="BK275" s="8">
        <f>_xlfn.IFNA(VLOOKUP(Granger_Inventory[[#This Row],[condition]],Lookups!$H$17:$J$24,3,FALSE),0)</f>
        <v>33736</v>
      </c>
      <c r="BL275" s="8">
        <f>Granger_Inventory[[#This Row],[Age]]*Lookups!$B$16</f>
        <v>-18245.1368</v>
      </c>
      <c r="BM275" s="8">
        <f>Granger_Inventory[[#This Row],[living_area]]*Lookups!$B$17</f>
        <v>180291.39611999999</v>
      </c>
      <c r="BN275" s="8">
        <f>(Granger_Inventory[[#This Row],[att_gar]]+Granger_Inventory[[#This Row],[blt_gar]])*Lookups!$B$18</f>
        <v>43409.037056000001</v>
      </c>
      <c r="BO275" s="8">
        <f>Granger_Inventory[[#This Row],[Patio]]*Lookups!$B$19</f>
        <v>0</v>
      </c>
      <c r="BP275" s="8">
        <f>SUM(Granger_Inventory[[#This Row],[Intercept]:[Patio_Value]])*Granger_Inventory[[#This Row],[res_pct]]</f>
        <v>340661.85537599993</v>
      </c>
      <c r="BQ275" s="8">
        <f>Granger_Inventory[[#This Row],[land_value]]</f>
        <v>47142.152120449238</v>
      </c>
      <c r="BR275" s="4">
        <f>_xlfn.IFNA(VLOOKUP(Granger_Inventory[[#This Row],[quality]],Lookups!$A$25:$C$35,3,FALSE),1)</f>
        <v>0.992092799099482</v>
      </c>
      <c r="BS275" s="4">
        <f>_xlfn.IFNA(VLOOKUP(Granger_Inventory[[#This Row],[condition]],Lookups!$A$38:$C$45,3,FALSE),1)</f>
        <v>0.92294678898076177</v>
      </c>
      <c r="BT275" s="4">
        <f>IF(Granger_Inventory[[#This Row],[decade]]="",1,_xlfn.IFNA(VLOOKUP(Granger_Inventory[[#This Row],[decade]],Lookups!$G$28:$I$42,3,FALSE),1))</f>
        <v>0.95234610137492615</v>
      </c>
      <c r="BU275" s="4">
        <f>_xlfn.IFNA(VLOOKUP(Granger_Inventory[[#This Row],[living_area_range]],Lookups!$A$48:$C$57,3,FALSE),1)</f>
        <v>0.99995754169072248</v>
      </c>
      <c r="BV275" s="4">
        <f>AVERAGE(Granger_Inventory[[#This Row],[qual_adj]:[living_range_adj]])</f>
        <v>0.96683580778647316</v>
      </c>
      <c r="BW275" s="8">
        <f>(Granger_Inventory[[#This Row],[sum_land]]-IF(Granger_Inventory[[#This Row],[no_utilities]]=1,12000,0))/IF(Granger_Inventory[[#This Row],[unbuildable]]=1,2,1)</f>
        <v>47142.152120449238</v>
      </c>
      <c r="BX275" s="8">
        <f>Granger_Inventory[[#This Row],[pre_res]]*Granger_Inventory[[#This Row],[overall_adj]]</f>
        <v>329364.08012449357</v>
      </c>
      <c r="BY275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275">
        <f>ROUND(Granger_Inventory[[#This Row],[detatched_value]]*Lookups!$I$45,-2)</f>
        <v>6700</v>
      </c>
      <c r="CA275">
        <f>IF(ROUND(Granger_Inventory[[#This Row],[adj_res]]*Lookups!$I$45,-2)&lt;Granger_Inventory[[#This Row],[min_res]],Granger_Inventory[[#This Row],[min_res]],ROUND(Granger_Inventory[[#This Row],[adj_res]]*Lookups!$I$45,-2))</f>
        <v>312900</v>
      </c>
      <c r="CB275">
        <f>Granger_Inventory[[#This Row],[final_det]]+Granger_Inventory[[#This Row],[final_res]]</f>
        <v>319600</v>
      </c>
      <c r="CC275">
        <f>Granger_Inventory[[#This Row],[final_land]]+Granger_Inventory[[#This Row],[final_imp]]+Granger_Inventory[[#This Row],[crop_value]]</f>
        <v>364400</v>
      </c>
      <c r="CE275" t="str">
        <f t="shared" si="4"/>
        <v>update valuation set market_land =44800, market_bldg=319600, market_total =364400, market_mdno =402, market_date ='9/10/2023' where link_id = (select link_id from parcel where parcel_year = '2024' and parcel_id = '21102111516');</v>
      </c>
    </row>
    <row r="276" spans="1:83" x14ac:dyDescent="0.25">
      <c r="A276">
        <v>21102111518</v>
      </c>
      <c r="B276">
        <v>0.2</v>
      </c>
      <c r="C276" t="s">
        <v>137</v>
      </c>
      <c r="D276" t="s">
        <v>137</v>
      </c>
      <c r="E276" t="s">
        <v>54</v>
      </c>
      <c r="F276" t="s">
        <v>54</v>
      </c>
      <c r="G276">
        <v>3</v>
      </c>
      <c r="H276" t="s">
        <v>55</v>
      </c>
      <c r="I276">
        <v>188700</v>
      </c>
      <c r="J276">
        <v>28000</v>
      </c>
      <c r="K276">
        <v>0.2</v>
      </c>
      <c r="L276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76">
        <v>0</v>
      </c>
      <c r="N276">
        <v>0</v>
      </c>
      <c r="O276">
        <v>0</v>
      </c>
      <c r="P276">
        <v>47108.068500000001</v>
      </c>
      <c r="Q276">
        <v>122298</v>
      </c>
      <c r="R276">
        <f>(Granger_Inventory[[#This Row],[ln_acres]]*Granger_Inventory[[#This Row],[coeff]])+Granger_Inventory[[#This Row],[const]]</f>
        <v>46480.488574557399</v>
      </c>
      <c r="S276" t="s">
        <v>69</v>
      </c>
      <c r="T276">
        <v>1</v>
      </c>
      <c r="U276" t="s">
        <v>71</v>
      </c>
      <c r="V276" t="s">
        <v>58</v>
      </c>
      <c r="W276">
        <v>0</v>
      </c>
      <c r="X276">
        <v>0</v>
      </c>
      <c r="Y276">
        <v>10</v>
      </c>
      <c r="Z276">
        <v>10</v>
      </c>
      <c r="AA276">
        <v>10</v>
      </c>
      <c r="AB276">
        <v>1500</v>
      </c>
      <c r="AC276">
        <v>1092</v>
      </c>
      <c r="AD276">
        <v>1092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5</v>
      </c>
      <c r="AQ276">
        <v>0</v>
      </c>
      <c r="AR276">
        <v>0</v>
      </c>
      <c r="AS276" t="s">
        <v>59</v>
      </c>
      <c r="AT276">
        <v>0</v>
      </c>
      <c r="AU276" t="s">
        <v>83</v>
      </c>
      <c r="AV276" t="s">
        <v>65</v>
      </c>
      <c r="AW276">
        <v>0</v>
      </c>
      <c r="AX276">
        <v>3</v>
      </c>
      <c r="AY276">
        <v>0</v>
      </c>
      <c r="AZ276">
        <v>0</v>
      </c>
      <c r="BA276">
        <v>100</v>
      </c>
      <c r="BB276">
        <v>100</v>
      </c>
      <c r="BC276">
        <v>100</v>
      </c>
      <c r="BD276">
        <v>100</v>
      </c>
      <c r="BE276">
        <v>1</v>
      </c>
      <c r="BF276">
        <v>15000</v>
      </c>
      <c r="BG276">
        <v>1000</v>
      </c>
      <c r="BH276" s="8">
        <f>Granger_Inventory[[#This Row],[land_extract]]*Lookups!$B$3</f>
        <v>27689.858642911939</v>
      </c>
      <c r="BI276" s="8">
        <f>IF(Granger_Inventory[[#This Row],[bldg_style]]="",0,Lookups!$B$2)</f>
        <v>29703.559000000001</v>
      </c>
      <c r="BJ276" s="8">
        <f>_xlfn.IFNA(VLOOKUP(Granger_Inventory[[#This Row],[quality]],Lookups!$H$2:$J$14,3,FALSE),0)</f>
        <v>34195</v>
      </c>
      <c r="BK276" s="8">
        <f>_xlfn.IFNA(VLOOKUP(Granger_Inventory[[#This Row],[condition]],Lookups!$H$17:$J$24,3,FALSE),0)</f>
        <v>101774</v>
      </c>
      <c r="BL276" s="8">
        <f>Granger_Inventory[[#This Row],[Age]]*Lookups!$B$16</f>
        <v>-2073.3109999999997</v>
      </c>
      <c r="BM276" s="8">
        <f>Granger_Inventory[[#This Row],[living_area]]*Lookups!$B$17</f>
        <v>73462.016627999998</v>
      </c>
      <c r="BN276" s="8">
        <f>(Granger_Inventory[[#This Row],[att_gar]]+Granger_Inventory[[#This Row],[blt_gar]])*Lookups!$B$18</f>
        <v>0</v>
      </c>
      <c r="BO276" s="8">
        <f>Granger_Inventory[[#This Row],[Patio]]*Lookups!$B$19</f>
        <v>0</v>
      </c>
      <c r="BP276" s="8">
        <f>SUM(Granger_Inventory[[#This Row],[Intercept]:[Patio_Value]])*Granger_Inventory[[#This Row],[res_pct]]</f>
        <v>237061.26462800003</v>
      </c>
      <c r="BQ276" s="8">
        <f>Granger_Inventory[[#This Row],[land_value]]</f>
        <v>27689.858642911939</v>
      </c>
      <c r="BR276" s="4">
        <f>_xlfn.IFNA(VLOOKUP(Granger_Inventory[[#This Row],[quality]],Lookups!$A$25:$C$35,3,FALSE),1)</f>
        <v>0.98258795897788032</v>
      </c>
      <c r="BS276" s="4">
        <f>_xlfn.IFNA(VLOOKUP(Granger_Inventory[[#This Row],[condition]],Lookups!$A$38:$C$45,3,FALSE),1)</f>
        <v>0.99135053432734199</v>
      </c>
      <c r="BT276" s="4">
        <f>IF(Granger_Inventory[[#This Row],[decade]]="",1,_xlfn.IFNA(VLOOKUP(Granger_Inventory[[#This Row],[decade]],Lookups!$G$28:$I$42,3,FALSE),1))</f>
        <v>0.95532362136731586</v>
      </c>
      <c r="BU276" s="4">
        <f>_xlfn.IFNA(VLOOKUP(Granger_Inventory[[#This Row],[living_area_range]],Lookups!$A$48:$C$57,3,FALSE),1)</f>
        <v>0.97960506760539345</v>
      </c>
      <c r="BV276" s="4">
        <f>AVERAGE(Granger_Inventory[[#This Row],[qual_adj]:[living_range_adj]])</f>
        <v>0.97721679556948293</v>
      </c>
      <c r="BW276" s="8">
        <f>(Granger_Inventory[[#This Row],[sum_land]]-IF(Granger_Inventory[[#This Row],[no_utilities]]=1,12000,0))/IF(Granger_Inventory[[#This Row],[unbuildable]]=1,2,1)</f>
        <v>27689.858642911939</v>
      </c>
      <c r="BX276" s="8">
        <f>Granger_Inventory[[#This Row],[pre_res]]*Granger_Inventory[[#This Row],[overall_adj]]</f>
        <v>231660.2493734234</v>
      </c>
      <c r="BY276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76">
        <f>ROUND(Granger_Inventory[[#This Row],[detatched_value]]*Lookups!$I$45,-2)</f>
        <v>0</v>
      </c>
      <c r="CA276">
        <f>IF(ROUND(Granger_Inventory[[#This Row],[adj_res]]*Lookups!$I$45,-2)&lt;Granger_Inventory[[#This Row],[min_res]],Granger_Inventory[[#This Row],[min_res]],ROUND(Granger_Inventory[[#This Row],[adj_res]]*Lookups!$I$45,-2))</f>
        <v>220100</v>
      </c>
      <c r="CB276">
        <f>Granger_Inventory[[#This Row],[final_det]]+Granger_Inventory[[#This Row],[final_res]]</f>
        <v>220100</v>
      </c>
      <c r="CC276">
        <f>Granger_Inventory[[#This Row],[final_land]]+Granger_Inventory[[#This Row],[final_imp]]+Granger_Inventory[[#This Row],[crop_value]]</f>
        <v>246400</v>
      </c>
      <c r="CE276" t="str">
        <f t="shared" si="4"/>
        <v>update valuation set market_land =26300, market_bldg=220100, market_total =246400, market_mdno =402, market_date ='9/10/2023' where link_id = (select link_id from parcel where parcel_year = '2024' and parcel_id = '21102111518');</v>
      </c>
    </row>
    <row r="277" spans="1:83" x14ac:dyDescent="0.25">
      <c r="A277">
        <v>21102111519</v>
      </c>
      <c r="B277">
        <v>0.38</v>
      </c>
      <c r="C277">
        <v>16395</v>
      </c>
      <c r="D277" t="s">
        <v>137</v>
      </c>
      <c r="E277" t="s">
        <v>54</v>
      </c>
      <c r="F277" t="s">
        <v>54</v>
      </c>
      <c r="G277">
        <v>3</v>
      </c>
      <c r="H277" t="s">
        <v>55</v>
      </c>
      <c r="I277">
        <v>112200</v>
      </c>
      <c r="J277">
        <v>31800</v>
      </c>
      <c r="K277">
        <v>0.38</v>
      </c>
      <c r="L277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277">
        <v>0</v>
      </c>
      <c r="N277">
        <v>0</v>
      </c>
      <c r="O277">
        <v>0</v>
      </c>
      <c r="P277">
        <v>47108.068500000001</v>
      </c>
      <c r="Q277">
        <v>122298</v>
      </c>
      <c r="R277">
        <f>(Granger_Inventory[[#This Row],[ln_acres]]*Granger_Inventory[[#This Row],[coeff]])+Granger_Inventory[[#This Row],[const]]</f>
        <v>76716.985411357775</v>
      </c>
      <c r="S277" t="s">
        <v>56</v>
      </c>
      <c r="T277">
        <v>1</v>
      </c>
      <c r="U277" t="s">
        <v>71</v>
      </c>
      <c r="V277" t="s">
        <v>77</v>
      </c>
      <c r="W277">
        <v>0</v>
      </c>
      <c r="X277">
        <v>0</v>
      </c>
      <c r="Y277">
        <v>45</v>
      </c>
      <c r="Z277">
        <v>51</v>
      </c>
      <c r="AA277">
        <v>60</v>
      </c>
      <c r="AB277">
        <v>1500</v>
      </c>
      <c r="AC277">
        <v>1206</v>
      </c>
      <c r="AD277">
        <v>1206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144</v>
      </c>
      <c r="AN277">
        <v>0</v>
      </c>
      <c r="AO277">
        <v>0</v>
      </c>
      <c r="AP277">
        <v>5</v>
      </c>
      <c r="AQ277">
        <v>0</v>
      </c>
      <c r="AR277">
        <v>0</v>
      </c>
      <c r="AS277" t="s">
        <v>59</v>
      </c>
      <c r="AT277">
        <v>1</v>
      </c>
      <c r="AU277" t="s">
        <v>60</v>
      </c>
      <c r="AV277" t="s">
        <v>65</v>
      </c>
      <c r="AW277">
        <v>0</v>
      </c>
      <c r="AX277">
        <v>3</v>
      </c>
      <c r="AY277">
        <v>0</v>
      </c>
      <c r="AZ277">
        <v>0</v>
      </c>
      <c r="BA277">
        <v>100</v>
      </c>
      <c r="BB277">
        <v>100</v>
      </c>
      <c r="BC277">
        <v>100</v>
      </c>
      <c r="BD277">
        <v>100</v>
      </c>
      <c r="BE277">
        <v>1</v>
      </c>
      <c r="BF277">
        <v>15000</v>
      </c>
      <c r="BG277">
        <v>1000</v>
      </c>
      <c r="BH277" s="8">
        <f>Granger_Inventory[[#This Row],[land_extract]]*Lookups!$B$3</f>
        <v>45702.671092696495</v>
      </c>
      <c r="BI277" s="8">
        <f>IF(Granger_Inventory[[#This Row],[bldg_style]]="",0,Lookups!$B$2)</f>
        <v>29703.559000000001</v>
      </c>
      <c r="BJ277" s="8">
        <f>_xlfn.IFNA(VLOOKUP(Granger_Inventory[[#This Row],[quality]],Lookups!$H$2:$J$14,3,FALSE),0)</f>
        <v>34195</v>
      </c>
      <c r="BK277" s="8">
        <f>_xlfn.IFNA(VLOOKUP(Granger_Inventory[[#This Row],[condition]],Lookups!$H$17:$J$24,3,FALSE),0)</f>
        <v>33736</v>
      </c>
      <c r="BL277" s="8">
        <f>Granger_Inventory[[#This Row],[Age]]*Lookups!$B$16</f>
        <v>-10573.8861</v>
      </c>
      <c r="BM277" s="8">
        <f>Granger_Inventory[[#This Row],[living_area]]*Lookups!$B$17</f>
        <v>81131.128253999996</v>
      </c>
      <c r="BN277" s="8">
        <f>(Granger_Inventory[[#This Row],[att_gar]]+Granger_Inventory[[#This Row],[blt_gar]])*Lookups!$B$18</f>
        <v>0</v>
      </c>
      <c r="BO277" s="8">
        <f>Granger_Inventory[[#This Row],[Patio]]*Lookups!$B$19</f>
        <v>7821.3738239999993</v>
      </c>
      <c r="BP277" s="8">
        <f>SUM(Granger_Inventory[[#This Row],[Intercept]:[Patio_Value]])*Granger_Inventory[[#This Row],[res_pct]]</f>
        <v>176013.174978</v>
      </c>
      <c r="BQ277" s="8">
        <f>Granger_Inventory[[#This Row],[land_value]]</f>
        <v>45702.671092696495</v>
      </c>
      <c r="BR277" s="4">
        <f>_xlfn.IFNA(VLOOKUP(Granger_Inventory[[#This Row],[quality]],Lookups!$A$25:$C$35,3,FALSE),1)</f>
        <v>0.98258795897788032</v>
      </c>
      <c r="BS277" s="4">
        <f>_xlfn.IFNA(VLOOKUP(Granger_Inventory[[#This Row],[condition]],Lookups!$A$38:$C$45,3,FALSE),1)</f>
        <v>0.92294678898076177</v>
      </c>
      <c r="BT277" s="4">
        <f>IF(Granger_Inventory[[#This Row],[decade]]="",1,_xlfn.IFNA(VLOOKUP(Granger_Inventory[[#This Row],[decade]],Lookups!$G$28:$I$42,3,FALSE),1))</f>
        <v>0.86581421791274704</v>
      </c>
      <c r="BU277" s="4">
        <f>_xlfn.IFNA(VLOOKUP(Granger_Inventory[[#This Row],[living_area_range]],Lookups!$A$48:$C$57,3,FALSE),1)</f>
        <v>0.97960506760539345</v>
      </c>
      <c r="BV277" s="4">
        <f>AVERAGE(Granger_Inventory[[#This Row],[qual_adj]:[living_range_adj]])</f>
        <v>0.93773850836919559</v>
      </c>
      <c r="BW277" s="8">
        <f>(Granger_Inventory[[#This Row],[sum_land]]-IF(Granger_Inventory[[#This Row],[no_utilities]]=1,12000,0))/IF(Granger_Inventory[[#This Row],[unbuildable]]=1,2,1)</f>
        <v>45702.671092696495</v>
      </c>
      <c r="BX277" s="8">
        <f>Granger_Inventory[[#This Row],[pre_res]]*Granger_Inventory[[#This Row],[overall_adj]]</f>
        <v>165054.33215719592</v>
      </c>
      <c r="BY277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277">
        <f>ROUND(Granger_Inventory[[#This Row],[detatched_value]]*Lookups!$I$45,-2)</f>
        <v>0</v>
      </c>
      <c r="CA277">
        <f>IF(ROUND(Granger_Inventory[[#This Row],[adj_res]]*Lookups!$I$45,-2)&lt;Granger_Inventory[[#This Row],[min_res]],Granger_Inventory[[#This Row],[min_res]],ROUND(Granger_Inventory[[#This Row],[adj_res]]*Lookups!$I$45,-2))</f>
        <v>156800</v>
      </c>
      <c r="CB277">
        <f>Granger_Inventory[[#This Row],[final_det]]+Granger_Inventory[[#This Row],[final_res]]</f>
        <v>156800</v>
      </c>
      <c r="CC277">
        <f>Granger_Inventory[[#This Row],[final_land]]+Granger_Inventory[[#This Row],[final_imp]]+Granger_Inventory[[#This Row],[crop_value]]</f>
        <v>200200</v>
      </c>
      <c r="CE277" t="str">
        <f t="shared" si="4"/>
        <v>update valuation set market_land =43400, market_bldg=156800, market_total =200200, market_mdno =402, market_date ='9/10/2023' where link_id = (select link_id from parcel where parcel_year = '2024' and parcel_id = '21102111519');</v>
      </c>
    </row>
    <row r="278" spans="1:83" x14ac:dyDescent="0.25">
      <c r="A278">
        <v>21102111520</v>
      </c>
      <c r="B278">
        <v>0.11</v>
      </c>
      <c r="C278">
        <v>4772</v>
      </c>
      <c r="D278" t="s">
        <v>137</v>
      </c>
      <c r="E278" t="s">
        <v>54</v>
      </c>
      <c r="F278" t="s">
        <v>54</v>
      </c>
      <c r="G278">
        <v>3</v>
      </c>
      <c r="H278" t="s">
        <v>55</v>
      </c>
      <c r="I278">
        <v>39500</v>
      </c>
      <c r="J278">
        <v>24500</v>
      </c>
      <c r="K278">
        <v>0.11</v>
      </c>
      <c r="L278">
        <f>IF(Granger_Inventory[[#This Row],[parcel_acres]]-Granger_Inventory[[#This Row],[non_valued_acres]] =0,0,LN(Granger_Inventory[[#This Row],[parcel_acres]]-Granger_Inventory[[#This Row],[non_valued_acres]]))</f>
        <v>-2.2072749131897207</v>
      </c>
      <c r="M278">
        <v>0</v>
      </c>
      <c r="N278">
        <v>0</v>
      </c>
      <c r="O278">
        <v>0</v>
      </c>
      <c r="P278">
        <v>47108.068500000001</v>
      </c>
      <c r="Q278">
        <v>122298</v>
      </c>
      <c r="R278">
        <f>(Granger_Inventory[[#This Row],[ln_acres]]*Granger_Inventory[[#This Row],[coeff]])+Granger_Inventory[[#This Row],[const]]</f>
        <v>18317.542191127082</v>
      </c>
      <c r="S278" t="s">
        <v>69</v>
      </c>
      <c r="T278">
        <v>1</v>
      </c>
      <c r="U278" t="s">
        <v>106</v>
      </c>
      <c r="V278" t="s">
        <v>77</v>
      </c>
      <c r="W278">
        <v>0</v>
      </c>
      <c r="X278">
        <v>0</v>
      </c>
      <c r="Y278">
        <v>51</v>
      </c>
      <c r="Z278">
        <v>83</v>
      </c>
      <c r="AA278">
        <v>90</v>
      </c>
      <c r="AB278">
        <v>1000</v>
      </c>
      <c r="AC278">
        <v>728</v>
      </c>
      <c r="AD278">
        <v>728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5</v>
      </c>
      <c r="AQ278">
        <v>0</v>
      </c>
      <c r="AR278">
        <v>0</v>
      </c>
      <c r="AS278" t="s">
        <v>59</v>
      </c>
      <c r="AT278">
        <v>1</v>
      </c>
      <c r="AU278" t="s">
        <v>76</v>
      </c>
      <c r="AV278" t="s">
        <v>61</v>
      </c>
      <c r="AW278">
        <v>0</v>
      </c>
      <c r="AX278">
        <v>2</v>
      </c>
      <c r="AY278">
        <v>0</v>
      </c>
      <c r="AZ278">
        <v>0</v>
      </c>
      <c r="BA278">
        <v>100</v>
      </c>
      <c r="BB278">
        <v>100</v>
      </c>
      <c r="BC278">
        <v>100</v>
      </c>
      <c r="BD278">
        <v>100</v>
      </c>
      <c r="BE278">
        <v>1</v>
      </c>
      <c r="BF278">
        <v>15000</v>
      </c>
      <c r="BG278">
        <v>1000</v>
      </c>
      <c r="BH278" s="8">
        <f>Granger_Inventory[[#This Row],[land_extract]]*Lookups!$B$3</f>
        <v>10912.32406355389</v>
      </c>
      <c r="BI278" s="8">
        <f>IF(Granger_Inventory[[#This Row],[bldg_style]]="",0,Lookups!$B$2)</f>
        <v>29703.559000000001</v>
      </c>
      <c r="BJ278" s="8">
        <f>_xlfn.IFNA(VLOOKUP(Granger_Inventory[[#This Row],[quality]],Lookups!$H$2:$J$14,3,FALSE),0)</f>
        <v>17985.540667792327</v>
      </c>
      <c r="BK278" s="8">
        <f>_xlfn.IFNA(VLOOKUP(Granger_Inventory[[#This Row],[condition]],Lookups!$H$17:$J$24,3,FALSE),0)</f>
        <v>33736</v>
      </c>
      <c r="BL278" s="8">
        <f>Granger_Inventory[[#This Row],[Age]]*Lookups!$B$16</f>
        <v>-17208.481299999999</v>
      </c>
      <c r="BM278" s="8">
        <f>Granger_Inventory[[#This Row],[living_area]]*Lookups!$B$17</f>
        <v>48974.677751999996</v>
      </c>
      <c r="BN278" s="8">
        <f>(Granger_Inventory[[#This Row],[att_gar]]+Granger_Inventory[[#This Row],[blt_gar]])*Lookups!$B$18</f>
        <v>0</v>
      </c>
      <c r="BO278" s="8">
        <f>Granger_Inventory[[#This Row],[Patio]]*Lookups!$B$19</f>
        <v>0</v>
      </c>
      <c r="BP278" s="8">
        <f>SUM(Granger_Inventory[[#This Row],[Intercept]:[Patio_Value]])*Granger_Inventory[[#This Row],[res_pct]]</f>
        <v>113191.29611979233</v>
      </c>
      <c r="BQ278" s="8">
        <f>Granger_Inventory[[#This Row],[land_value]]</f>
        <v>10912.32406355389</v>
      </c>
      <c r="BR278" s="4">
        <f>_xlfn.IFNA(VLOOKUP(Granger_Inventory[[#This Row],[quality]],Lookups!$A$25:$C$35,3,FALSE),1)</f>
        <v>0.77695375541795109</v>
      </c>
      <c r="BS278" s="4">
        <f>_xlfn.IFNA(VLOOKUP(Granger_Inventory[[#This Row],[condition]],Lookups!$A$38:$C$45,3,FALSE),1)</f>
        <v>0.92294678898076177</v>
      </c>
      <c r="BT278" s="4">
        <f>IF(Granger_Inventory[[#This Row],[decade]]="",1,_xlfn.IFNA(VLOOKUP(Granger_Inventory[[#This Row],[decade]],Lookups!$G$28:$I$42,3,FALSE),1))</f>
        <v>0.95234610137492615</v>
      </c>
      <c r="BU278" s="4">
        <f>_xlfn.IFNA(VLOOKUP(Granger_Inventory[[#This Row],[living_area_range]],Lookups!$A$48:$C$57,3,FALSE),1)</f>
        <v>0.81272404900450645</v>
      </c>
      <c r="BV278" s="4">
        <f>AVERAGE(Granger_Inventory[[#This Row],[qual_adj]:[living_range_adj]])</f>
        <v>0.86624267369453634</v>
      </c>
      <c r="BW278" s="8">
        <f>(Granger_Inventory[[#This Row],[sum_land]]-IF(Granger_Inventory[[#This Row],[no_utilities]]=1,12000,0))/IF(Granger_Inventory[[#This Row],[unbuildable]]=1,2,1)</f>
        <v>10912.32406355389</v>
      </c>
      <c r="BX278" s="8">
        <f>Granger_Inventory[[#This Row],[pre_res]]*Granger_Inventory[[#This Row],[overall_adj]]</f>
        <v>98051.130989758909</v>
      </c>
      <c r="BY278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278">
        <f>ROUND(Granger_Inventory[[#This Row],[detatched_value]]*Lookups!$I$45,-2)</f>
        <v>0</v>
      </c>
      <c r="CA278">
        <f>IF(ROUND(Granger_Inventory[[#This Row],[adj_res]]*Lookups!$I$45,-2)&lt;Granger_Inventory[[#This Row],[min_res]],Granger_Inventory[[#This Row],[min_res]],ROUND(Granger_Inventory[[#This Row],[adj_res]]*Lookups!$I$45,-2))</f>
        <v>93100</v>
      </c>
      <c r="CB278">
        <f>Granger_Inventory[[#This Row],[final_det]]+Granger_Inventory[[#This Row],[final_res]]</f>
        <v>93100</v>
      </c>
      <c r="CC278">
        <f>Granger_Inventory[[#This Row],[final_land]]+Granger_Inventory[[#This Row],[final_imp]]+Granger_Inventory[[#This Row],[crop_value]]</f>
        <v>108100</v>
      </c>
      <c r="CE278" t="str">
        <f t="shared" si="4"/>
        <v>update valuation set market_land =15000, market_bldg=93100, market_total =108100, market_mdno =402, market_date ='9/10/2023' where link_id = (select link_id from parcel where parcel_year = '2024' and parcel_id = '21102111520');</v>
      </c>
    </row>
    <row r="279" spans="1:83" x14ac:dyDescent="0.25">
      <c r="A279">
        <v>21102111521</v>
      </c>
      <c r="B279">
        <v>0.12</v>
      </c>
      <c r="C279">
        <v>5128</v>
      </c>
      <c r="D279" t="s">
        <v>137</v>
      </c>
      <c r="E279" t="s">
        <v>54</v>
      </c>
      <c r="F279" t="s">
        <v>54</v>
      </c>
      <c r="G279">
        <v>3</v>
      </c>
      <c r="H279" t="s">
        <v>55</v>
      </c>
      <c r="I279">
        <v>56600</v>
      </c>
      <c r="J279">
        <v>25000</v>
      </c>
      <c r="K279">
        <v>0.12</v>
      </c>
      <c r="L279">
        <f>IF(Granger_Inventory[[#This Row],[parcel_acres]]-Granger_Inventory[[#This Row],[non_valued_acres]] =0,0,LN(Granger_Inventory[[#This Row],[parcel_acres]]-Granger_Inventory[[#This Row],[non_valued_acres]]))</f>
        <v>-2.120263536200091</v>
      </c>
      <c r="M279">
        <v>0</v>
      </c>
      <c r="N279">
        <v>0</v>
      </c>
      <c r="O279">
        <v>0</v>
      </c>
      <c r="P279">
        <v>47108.068500000001</v>
      </c>
      <c r="Q279">
        <v>122298</v>
      </c>
      <c r="R279">
        <f>(Granger_Inventory[[#This Row],[ln_acres]]*Granger_Inventory[[#This Row],[coeff]])+Granger_Inventory[[#This Row],[const]]</f>
        <v>22416.480098633881</v>
      </c>
      <c r="S279" t="s">
        <v>62</v>
      </c>
      <c r="T279">
        <v>1</v>
      </c>
      <c r="U279" t="s">
        <v>106</v>
      </c>
      <c r="V279" t="s">
        <v>79</v>
      </c>
      <c r="W279">
        <v>0</v>
      </c>
      <c r="X279">
        <v>0</v>
      </c>
      <c r="Y279">
        <v>51</v>
      </c>
      <c r="Z279">
        <v>83</v>
      </c>
      <c r="AA279">
        <v>90</v>
      </c>
      <c r="AB279">
        <v>1500</v>
      </c>
      <c r="AC279">
        <v>1077</v>
      </c>
      <c r="AD279">
        <v>1077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50</v>
      </c>
      <c r="AM279">
        <v>0</v>
      </c>
      <c r="AN279">
        <v>0</v>
      </c>
      <c r="AO279">
        <v>50</v>
      </c>
      <c r="AP279">
        <v>5</v>
      </c>
      <c r="AQ279">
        <v>1</v>
      </c>
      <c r="AR279">
        <v>0</v>
      </c>
      <c r="AS279" t="s">
        <v>59</v>
      </c>
      <c r="AT279">
        <v>1</v>
      </c>
      <c r="AU279" t="s">
        <v>68</v>
      </c>
      <c r="AV279" t="s">
        <v>65</v>
      </c>
      <c r="AW279">
        <v>0</v>
      </c>
      <c r="AX279">
        <v>2</v>
      </c>
      <c r="AY279">
        <v>0</v>
      </c>
      <c r="AZ279">
        <v>0</v>
      </c>
      <c r="BA279">
        <v>100</v>
      </c>
      <c r="BB279">
        <v>100</v>
      </c>
      <c r="BC279">
        <v>100</v>
      </c>
      <c r="BD279">
        <v>100</v>
      </c>
      <c r="BE279">
        <v>1</v>
      </c>
      <c r="BF279">
        <v>15000</v>
      </c>
      <c r="BG279">
        <v>1000</v>
      </c>
      <c r="BH279" s="8">
        <f>Granger_Inventory[[#This Row],[land_extract]]*Lookups!$B$3</f>
        <v>13354.187622343241</v>
      </c>
      <c r="BI279" s="8">
        <f>IF(Granger_Inventory[[#This Row],[bldg_style]]="",0,Lookups!$B$2)</f>
        <v>29703.559000000001</v>
      </c>
      <c r="BJ279" s="8">
        <f>_xlfn.IFNA(VLOOKUP(Granger_Inventory[[#This Row],[quality]],Lookups!$H$2:$J$14,3,FALSE),0)</f>
        <v>17985.540667792327</v>
      </c>
      <c r="BK279" s="8">
        <f>_xlfn.IFNA(VLOOKUP(Granger_Inventory[[#This Row],[condition]],Lookups!$H$17:$J$24,3,FALSE),0)</f>
        <v>86727</v>
      </c>
      <c r="BL279" s="8">
        <f>Granger_Inventory[[#This Row],[Age]]*Lookups!$B$16</f>
        <v>-17208.481299999999</v>
      </c>
      <c r="BM279" s="8">
        <f>Granger_Inventory[[#This Row],[living_area]]*Lookups!$B$17</f>
        <v>72452.922993</v>
      </c>
      <c r="BN279" s="8">
        <f>(Granger_Inventory[[#This Row],[att_gar]]+Granger_Inventory[[#This Row],[blt_gar]])*Lookups!$B$18</f>
        <v>0</v>
      </c>
      <c r="BO279" s="8">
        <f>Granger_Inventory[[#This Row],[Patio]]*Lookups!$B$19</f>
        <v>0</v>
      </c>
      <c r="BP279" s="8">
        <f>SUM(Granger_Inventory[[#This Row],[Intercept]:[Patio_Value]])*Granger_Inventory[[#This Row],[res_pct]]</f>
        <v>189660.54136079233</v>
      </c>
      <c r="BQ279" s="8">
        <f>Granger_Inventory[[#This Row],[land_value]]</f>
        <v>13354.187622343241</v>
      </c>
      <c r="BR279" s="4">
        <f>_xlfn.IFNA(VLOOKUP(Granger_Inventory[[#This Row],[quality]],Lookups!$A$25:$C$35,3,FALSE),1)</f>
        <v>0.77695375541795109</v>
      </c>
      <c r="BS279" s="4">
        <f>_xlfn.IFNA(VLOOKUP(Granger_Inventory[[#This Row],[condition]],Lookups!$A$38:$C$45,3,FALSE),1)</f>
        <v>0.85322907131620684</v>
      </c>
      <c r="BT279" s="4">
        <f>IF(Granger_Inventory[[#This Row],[decade]]="",1,_xlfn.IFNA(VLOOKUP(Granger_Inventory[[#This Row],[decade]],Lookups!$G$28:$I$42,3,FALSE),1))</f>
        <v>0.95234610137492615</v>
      </c>
      <c r="BU279" s="4">
        <f>_xlfn.IFNA(VLOOKUP(Granger_Inventory[[#This Row],[living_area_range]],Lookups!$A$48:$C$57,3,FALSE),1)</f>
        <v>0.97960506760539345</v>
      </c>
      <c r="BV279" s="4">
        <f>AVERAGE(Granger_Inventory[[#This Row],[qual_adj]:[living_range_adj]])</f>
        <v>0.89053349892861944</v>
      </c>
      <c r="BW279" s="8">
        <f>(Granger_Inventory[[#This Row],[sum_land]]-IF(Granger_Inventory[[#This Row],[no_utilities]]=1,12000,0))/IF(Granger_Inventory[[#This Row],[unbuildable]]=1,2,1)</f>
        <v>13354.187622343241</v>
      </c>
      <c r="BX279" s="8">
        <f>Granger_Inventory[[#This Row],[pre_res]]*Granger_Inventory[[#This Row],[overall_adj]]</f>
        <v>168899.06550672255</v>
      </c>
      <c r="BY279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279">
        <f>ROUND(Granger_Inventory[[#This Row],[detatched_value]]*Lookups!$I$45,-2)</f>
        <v>0</v>
      </c>
      <c r="CA279">
        <f>IF(ROUND(Granger_Inventory[[#This Row],[adj_res]]*Lookups!$I$45,-2)&lt;Granger_Inventory[[#This Row],[min_res]],Granger_Inventory[[#This Row],[min_res]],ROUND(Granger_Inventory[[#This Row],[adj_res]]*Lookups!$I$45,-2))</f>
        <v>160500</v>
      </c>
      <c r="CB279">
        <f>Granger_Inventory[[#This Row],[final_det]]+Granger_Inventory[[#This Row],[final_res]]</f>
        <v>160500</v>
      </c>
      <c r="CC279">
        <f>Granger_Inventory[[#This Row],[final_land]]+Granger_Inventory[[#This Row],[final_imp]]+Granger_Inventory[[#This Row],[crop_value]]</f>
        <v>175500</v>
      </c>
      <c r="CE279" t="str">
        <f t="shared" si="4"/>
        <v>update valuation set market_land =15000, market_bldg=160500, market_total =175500, market_mdno =402, market_date ='9/10/2023' where link_id = (select link_id from parcel where parcel_year = '2024' and parcel_id = '21102111521');</v>
      </c>
    </row>
    <row r="280" spans="1:83" x14ac:dyDescent="0.25">
      <c r="A280">
        <v>21102111525</v>
      </c>
      <c r="B280">
        <v>0.23</v>
      </c>
      <c r="C280">
        <v>9825</v>
      </c>
      <c r="D280" t="s">
        <v>137</v>
      </c>
      <c r="E280" t="s">
        <v>54</v>
      </c>
      <c r="F280" t="s">
        <v>54</v>
      </c>
      <c r="G280">
        <v>3</v>
      </c>
      <c r="H280" t="s">
        <v>55</v>
      </c>
      <c r="I280">
        <v>50300</v>
      </c>
      <c r="J280">
        <v>28900</v>
      </c>
      <c r="K280">
        <v>0.23</v>
      </c>
      <c r="L280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280">
        <v>0</v>
      </c>
      <c r="N280">
        <v>0</v>
      </c>
      <c r="O280">
        <v>0</v>
      </c>
      <c r="P280">
        <v>47108.068500000001</v>
      </c>
      <c r="Q280">
        <v>122298</v>
      </c>
      <c r="R280">
        <f>(Granger_Inventory[[#This Row],[ln_acres]]*Granger_Inventory[[#This Row],[coeff]])+Granger_Inventory[[#This Row],[const]]</f>
        <v>53064.403729659418</v>
      </c>
      <c r="S280" t="s">
        <v>69</v>
      </c>
      <c r="T280">
        <v>1</v>
      </c>
      <c r="U280" t="s">
        <v>78</v>
      </c>
      <c r="V280" t="s">
        <v>77</v>
      </c>
      <c r="W280">
        <v>0</v>
      </c>
      <c r="X280">
        <v>0</v>
      </c>
      <c r="Y280">
        <v>46</v>
      </c>
      <c r="Z280">
        <v>53</v>
      </c>
      <c r="AA280">
        <v>60</v>
      </c>
      <c r="AB280">
        <v>1000</v>
      </c>
      <c r="AC280">
        <v>748</v>
      </c>
      <c r="AD280">
        <v>748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5</v>
      </c>
      <c r="AQ280">
        <v>0</v>
      </c>
      <c r="AR280">
        <v>0</v>
      </c>
      <c r="AS280" t="s">
        <v>59</v>
      </c>
      <c r="AT280">
        <v>1</v>
      </c>
      <c r="AU280" t="s">
        <v>68</v>
      </c>
      <c r="AV280" t="s">
        <v>65</v>
      </c>
      <c r="AW280">
        <v>0</v>
      </c>
      <c r="AX280">
        <v>2</v>
      </c>
      <c r="AY280">
        <v>0</v>
      </c>
      <c r="AZ280">
        <v>0</v>
      </c>
      <c r="BA280">
        <v>100</v>
      </c>
      <c r="BB280">
        <v>100</v>
      </c>
      <c r="BC280">
        <v>100</v>
      </c>
      <c r="BD280">
        <v>100</v>
      </c>
      <c r="BE280">
        <v>1</v>
      </c>
      <c r="BF280">
        <v>15000</v>
      </c>
      <c r="BG280">
        <v>1000</v>
      </c>
      <c r="BH280" s="8">
        <f>Granger_Inventory[[#This Row],[land_extract]]*Lookups!$B$3</f>
        <v>31612.09968539299</v>
      </c>
      <c r="BI280" s="8">
        <f>IF(Granger_Inventory[[#This Row],[bldg_style]]="",0,Lookups!$B$2)</f>
        <v>29703.559000000001</v>
      </c>
      <c r="BJ280" s="8">
        <f>_xlfn.IFNA(VLOOKUP(Granger_Inventory[[#This Row],[quality]],Lookups!$H$2:$J$14,3,FALSE),0)</f>
        <v>23737.786340274597</v>
      </c>
      <c r="BK280" s="8">
        <f>_xlfn.IFNA(VLOOKUP(Granger_Inventory[[#This Row],[condition]],Lookups!$H$17:$J$24,3,FALSE),0)</f>
        <v>33736</v>
      </c>
      <c r="BL280" s="8">
        <f>Granger_Inventory[[#This Row],[Age]]*Lookups!$B$16</f>
        <v>-10988.5483</v>
      </c>
      <c r="BM280" s="8">
        <f>Granger_Inventory[[#This Row],[living_area]]*Lookups!$B$17</f>
        <v>50320.135931999997</v>
      </c>
      <c r="BN280" s="8">
        <f>(Granger_Inventory[[#This Row],[att_gar]]+Granger_Inventory[[#This Row],[blt_gar]])*Lookups!$B$18</f>
        <v>0</v>
      </c>
      <c r="BO280" s="8">
        <f>Granger_Inventory[[#This Row],[Patio]]*Lookups!$B$19</f>
        <v>0</v>
      </c>
      <c r="BP280" s="8">
        <f>SUM(Granger_Inventory[[#This Row],[Intercept]:[Patio_Value]])*Granger_Inventory[[#This Row],[res_pct]]</f>
        <v>126508.9329722746</v>
      </c>
      <c r="BQ280" s="8">
        <f>Granger_Inventory[[#This Row],[land_value]]</f>
        <v>31612.09968539299</v>
      </c>
      <c r="BR280" s="4">
        <f>_xlfn.IFNA(VLOOKUP(Granger_Inventory[[#This Row],[quality]],Lookups!$A$25:$C$35,3,FALSE),1)</f>
        <v>0.77695375541795109</v>
      </c>
      <c r="BS280" s="4">
        <f>_xlfn.IFNA(VLOOKUP(Granger_Inventory[[#This Row],[condition]],Lookups!$A$38:$C$45,3,FALSE),1)</f>
        <v>0.92294678898076177</v>
      </c>
      <c r="BT280" s="4">
        <f>IF(Granger_Inventory[[#This Row],[decade]]="",1,_xlfn.IFNA(VLOOKUP(Granger_Inventory[[#This Row],[decade]],Lookups!$G$28:$I$42,3,FALSE),1))</f>
        <v>0.86581421791274704</v>
      </c>
      <c r="BU280" s="4">
        <f>_xlfn.IFNA(VLOOKUP(Granger_Inventory[[#This Row],[living_area_range]],Lookups!$A$48:$C$57,3,FALSE),1)</f>
        <v>0.81272404900450645</v>
      </c>
      <c r="BV280" s="4">
        <f>AVERAGE(Granger_Inventory[[#This Row],[qual_adj]:[living_range_adj]])</f>
        <v>0.84460970282899162</v>
      </c>
      <c r="BW280" s="8">
        <f>(Granger_Inventory[[#This Row],[sum_land]]-IF(Granger_Inventory[[#This Row],[no_utilities]]=1,12000,0))/IF(Granger_Inventory[[#This Row],[unbuildable]]=1,2,1)</f>
        <v>31612.09968539299</v>
      </c>
      <c r="BX280" s="8">
        <f>Granger_Inventory[[#This Row],[pre_res]]*Granger_Inventory[[#This Row],[overall_adj]]</f>
        <v>106850.67228292568</v>
      </c>
      <c r="BY280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280">
        <f>ROUND(Granger_Inventory[[#This Row],[detatched_value]]*Lookups!$I$45,-2)</f>
        <v>0</v>
      </c>
      <c r="CA280">
        <f>IF(ROUND(Granger_Inventory[[#This Row],[adj_res]]*Lookups!$I$45,-2)&lt;Granger_Inventory[[#This Row],[min_res]],Granger_Inventory[[#This Row],[min_res]],ROUND(Granger_Inventory[[#This Row],[adj_res]]*Lookups!$I$45,-2))</f>
        <v>101500</v>
      </c>
      <c r="CB280">
        <f>Granger_Inventory[[#This Row],[final_det]]+Granger_Inventory[[#This Row],[final_res]]</f>
        <v>101500</v>
      </c>
      <c r="CC280">
        <f>Granger_Inventory[[#This Row],[final_land]]+Granger_Inventory[[#This Row],[final_imp]]+Granger_Inventory[[#This Row],[crop_value]]</f>
        <v>131500</v>
      </c>
      <c r="CE280" t="str">
        <f t="shared" si="4"/>
        <v>update valuation set market_land =30000, market_bldg=101500, market_total =131500, market_mdno =402, market_date ='9/10/2023' where link_id = (select link_id from parcel where parcel_year = '2024' and parcel_id = '21102111525');</v>
      </c>
    </row>
    <row r="281" spans="1:83" x14ac:dyDescent="0.25">
      <c r="A281">
        <v>21102111527</v>
      </c>
      <c r="B281">
        <v>0.19</v>
      </c>
      <c r="C281">
        <v>8476</v>
      </c>
      <c r="D281" t="s">
        <v>137</v>
      </c>
      <c r="E281" t="s">
        <v>54</v>
      </c>
      <c r="F281" t="s">
        <v>54</v>
      </c>
      <c r="G281">
        <v>3</v>
      </c>
      <c r="H281" t="s">
        <v>55</v>
      </c>
      <c r="I281">
        <v>81200</v>
      </c>
      <c r="J281">
        <v>27700</v>
      </c>
      <c r="K281">
        <v>0.19</v>
      </c>
      <c r="L281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281">
        <v>0</v>
      </c>
      <c r="N281">
        <v>0</v>
      </c>
      <c r="O281">
        <v>0</v>
      </c>
      <c r="P281">
        <v>47108.068500000001</v>
      </c>
      <c r="Q281">
        <v>122298</v>
      </c>
      <c r="R281">
        <f>(Granger_Inventory[[#This Row],[ln_acres]]*Granger_Inventory[[#This Row],[coeff]])+Granger_Inventory[[#This Row],[const]]</f>
        <v>44064.160548957996</v>
      </c>
      <c r="S281" t="s">
        <v>69</v>
      </c>
      <c r="T281">
        <v>1</v>
      </c>
      <c r="U281" t="s">
        <v>106</v>
      </c>
      <c r="V281" t="s">
        <v>72</v>
      </c>
      <c r="W281">
        <v>0</v>
      </c>
      <c r="X281">
        <v>0</v>
      </c>
      <c r="Y281">
        <v>51</v>
      </c>
      <c r="Z281">
        <v>83</v>
      </c>
      <c r="AA281">
        <v>90</v>
      </c>
      <c r="AB281">
        <v>1000</v>
      </c>
      <c r="AC281">
        <v>640</v>
      </c>
      <c r="AD281">
        <v>640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5</v>
      </c>
      <c r="AQ281">
        <v>0</v>
      </c>
      <c r="AR281">
        <v>0</v>
      </c>
      <c r="AS281" t="s">
        <v>59</v>
      </c>
      <c r="AT281">
        <v>1</v>
      </c>
      <c r="AU281" t="s">
        <v>68</v>
      </c>
      <c r="AV281" t="s">
        <v>65</v>
      </c>
      <c r="AW281">
        <v>0</v>
      </c>
      <c r="AX281">
        <v>1</v>
      </c>
      <c r="AY281">
        <v>0</v>
      </c>
      <c r="AZ281">
        <v>64000</v>
      </c>
      <c r="BA281">
        <v>100</v>
      </c>
      <c r="BB281">
        <v>100</v>
      </c>
      <c r="BC281">
        <v>100</v>
      </c>
      <c r="BD281">
        <v>100</v>
      </c>
      <c r="BE281">
        <v>1</v>
      </c>
      <c r="BF281">
        <v>15000</v>
      </c>
      <c r="BG281">
        <v>1000</v>
      </c>
      <c r="BH281" s="8">
        <f>Granger_Inventory[[#This Row],[land_extract]]*Lookups!$B$3</f>
        <v>26250.377615159185</v>
      </c>
      <c r="BI281" s="8">
        <f>IF(Granger_Inventory[[#This Row],[bldg_style]]="",0,Lookups!$B$2)</f>
        <v>29703.559000000001</v>
      </c>
      <c r="BJ281" s="8">
        <f>_xlfn.IFNA(VLOOKUP(Granger_Inventory[[#This Row],[quality]],Lookups!$H$2:$J$14,3,FALSE),0)</f>
        <v>17985.540667792327</v>
      </c>
      <c r="BK281" s="8">
        <f>_xlfn.IFNA(VLOOKUP(Granger_Inventory[[#This Row],[condition]],Lookups!$H$17:$J$24,3,FALSE),0)</f>
        <v>94106</v>
      </c>
      <c r="BL281" s="8">
        <f>Granger_Inventory[[#This Row],[Age]]*Lookups!$B$16</f>
        <v>-17208.481299999999</v>
      </c>
      <c r="BM281" s="8">
        <f>Granger_Inventory[[#This Row],[living_area]]*Lookups!$B$17</f>
        <v>43054.661760000003</v>
      </c>
      <c r="BN281" s="8">
        <f>(Granger_Inventory[[#This Row],[att_gar]]+Granger_Inventory[[#This Row],[blt_gar]])*Lookups!$B$18</f>
        <v>0</v>
      </c>
      <c r="BO281" s="8">
        <f>Granger_Inventory[[#This Row],[Patio]]*Lookups!$B$19</f>
        <v>0</v>
      </c>
      <c r="BP281" s="8">
        <f>SUM(Granger_Inventory[[#This Row],[Intercept]:[Patio_Value]])*Granger_Inventory[[#This Row],[res_pct]]</f>
        <v>167641.28012779233</v>
      </c>
      <c r="BQ281" s="8">
        <f>Granger_Inventory[[#This Row],[land_value]]</f>
        <v>26250.377615159185</v>
      </c>
      <c r="BR281" s="4">
        <f>_xlfn.IFNA(VLOOKUP(Granger_Inventory[[#This Row],[quality]],Lookups!$A$25:$C$35,3,FALSE),1)</f>
        <v>0.77695375541795109</v>
      </c>
      <c r="BS281" s="4">
        <f>_xlfn.IFNA(VLOOKUP(Granger_Inventory[[#This Row],[condition]],Lookups!$A$38:$C$45,3,FALSE),1)</f>
        <v>0.98658583151544277</v>
      </c>
      <c r="BT281" s="4">
        <f>IF(Granger_Inventory[[#This Row],[decade]]="",1,_xlfn.IFNA(VLOOKUP(Granger_Inventory[[#This Row],[decade]],Lookups!$G$28:$I$42,3,FALSE),1))</f>
        <v>0.95234610137492615</v>
      </c>
      <c r="BU281" s="4">
        <f>_xlfn.IFNA(VLOOKUP(Granger_Inventory[[#This Row],[living_area_range]],Lookups!$A$48:$C$57,3,FALSE),1)</f>
        <v>0.81272404900450645</v>
      </c>
      <c r="BV281" s="4">
        <f>AVERAGE(Granger_Inventory[[#This Row],[qual_adj]:[living_range_adj]])</f>
        <v>0.88215243432820656</v>
      </c>
      <c r="BW281" s="8">
        <f>(Granger_Inventory[[#This Row],[sum_land]]-IF(Granger_Inventory[[#This Row],[no_utilities]]=1,12000,0))/IF(Granger_Inventory[[#This Row],[unbuildable]]=1,2,1)</f>
        <v>26250.377615159185</v>
      </c>
      <c r="BX281" s="8">
        <f>Granger_Inventory[[#This Row],[pre_res]]*Granger_Inventory[[#This Row],[overall_adj]]</f>
        <v>147885.16335862881</v>
      </c>
      <c r="BY281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281">
        <f>ROUND(Granger_Inventory[[#This Row],[detatched_value]]*Lookups!$I$45,-2)</f>
        <v>60800</v>
      </c>
      <c r="CA281">
        <f>IF(ROUND(Granger_Inventory[[#This Row],[adj_res]]*Lookups!$I$45,-2)&lt;Granger_Inventory[[#This Row],[min_res]],Granger_Inventory[[#This Row],[min_res]],ROUND(Granger_Inventory[[#This Row],[adj_res]]*Lookups!$I$45,-2))</f>
        <v>140500</v>
      </c>
      <c r="CB281">
        <f>Granger_Inventory[[#This Row],[final_det]]+Granger_Inventory[[#This Row],[final_res]]</f>
        <v>201300</v>
      </c>
      <c r="CC281">
        <f>Granger_Inventory[[#This Row],[final_land]]+Granger_Inventory[[#This Row],[final_imp]]+Granger_Inventory[[#This Row],[crop_value]]</f>
        <v>226200</v>
      </c>
      <c r="CE281" t="str">
        <f t="shared" si="4"/>
        <v>update valuation set market_land =24900, market_bldg=201300, market_total =226200, market_mdno =402, market_date ='9/10/2023' where link_id = (select link_id from parcel where parcel_year = '2024' and parcel_id = '21102111527');</v>
      </c>
    </row>
    <row r="282" spans="1:83" x14ac:dyDescent="0.25">
      <c r="A282">
        <v>21102111529</v>
      </c>
      <c r="B282">
        <v>0.21</v>
      </c>
      <c r="C282">
        <v>9251</v>
      </c>
      <c r="D282" t="s">
        <v>137</v>
      </c>
      <c r="E282" t="s">
        <v>54</v>
      </c>
      <c r="F282" t="s">
        <v>54</v>
      </c>
      <c r="G282">
        <v>3</v>
      </c>
      <c r="H282" t="s">
        <v>55</v>
      </c>
      <c r="I282">
        <v>91700</v>
      </c>
      <c r="J282">
        <v>28300</v>
      </c>
      <c r="K282">
        <v>0.21</v>
      </c>
      <c r="L282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82">
        <v>0</v>
      </c>
      <c r="N282">
        <v>0</v>
      </c>
      <c r="O282">
        <v>0</v>
      </c>
      <c r="P282">
        <v>47108.068500000001</v>
      </c>
      <c r="Q282">
        <v>122298</v>
      </c>
      <c r="R282">
        <f>(Granger_Inventory[[#This Row],[ln_acres]]*Granger_Inventory[[#This Row],[coeff]])+Granger_Inventory[[#This Row],[const]]</f>
        <v>48778.898970377239</v>
      </c>
      <c r="S282" t="s">
        <v>69</v>
      </c>
      <c r="T282">
        <v>2</v>
      </c>
      <c r="U282" t="s">
        <v>78</v>
      </c>
      <c r="V282" t="s">
        <v>77</v>
      </c>
      <c r="W282">
        <v>0</v>
      </c>
      <c r="X282">
        <v>0</v>
      </c>
      <c r="Y282">
        <v>52</v>
      </c>
      <c r="Z282">
        <v>88</v>
      </c>
      <c r="AA282">
        <v>90</v>
      </c>
      <c r="AB282">
        <v>1500</v>
      </c>
      <c r="AC282">
        <v>1100</v>
      </c>
      <c r="AD282">
        <v>740</v>
      </c>
      <c r="AE282">
        <v>360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188</v>
      </c>
      <c r="AN282">
        <v>0</v>
      </c>
      <c r="AO282">
        <v>160</v>
      </c>
      <c r="AP282">
        <v>5</v>
      </c>
      <c r="AQ282">
        <v>0</v>
      </c>
      <c r="AR282">
        <v>0</v>
      </c>
      <c r="AS282" t="s">
        <v>139</v>
      </c>
      <c r="AT282">
        <v>1</v>
      </c>
      <c r="AU282" t="s">
        <v>60</v>
      </c>
      <c r="AV282" t="s">
        <v>61</v>
      </c>
      <c r="AW282">
        <v>0</v>
      </c>
      <c r="AX282">
        <v>3</v>
      </c>
      <c r="AY282">
        <v>0</v>
      </c>
      <c r="AZ282">
        <v>0</v>
      </c>
      <c r="BA282">
        <v>100</v>
      </c>
      <c r="BB282">
        <v>100</v>
      </c>
      <c r="BC282">
        <v>100</v>
      </c>
      <c r="BD282">
        <v>100</v>
      </c>
      <c r="BE282">
        <v>1</v>
      </c>
      <c r="BF282">
        <v>15000</v>
      </c>
      <c r="BG282">
        <v>1000</v>
      </c>
      <c r="BH282" s="8">
        <f>Granger_Inventory[[#This Row],[land_extract]]*Lookups!$B$3</f>
        <v>29059.09250674201</v>
      </c>
      <c r="BI282" s="8">
        <f>IF(Granger_Inventory[[#This Row],[bldg_style]]="",0,Lookups!$B$2)</f>
        <v>29703.559000000001</v>
      </c>
      <c r="BJ282" s="8">
        <f>_xlfn.IFNA(VLOOKUP(Granger_Inventory[[#This Row],[quality]],Lookups!$H$2:$J$14,3,FALSE),0)</f>
        <v>23737.786340274597</v>
      </c>
      <c r="BK282" s="8">
        <f>_xlfn.IFNA(VLOOKUP(Granger_Inventory[[#This Row],[condition]],Lookups!$H$17:$J$24,3,FALSE),0)</f>
        <v>33736</v>
      </c>
      <c r="BL282" s="8">
        <f>Granger_Inventory[[#This Row],[Age]]*Lookups!$B$16</f>
        <v>-18245.1368</v>
      </c>
      <c r="BM282" s="8">
        <f>Granger_Inventory[[#This Row],[living_area]]*Lookups!$B$17</f>
        <v>74000.199899999992</v>
      </c>
      <c r="BN282" s="8">
        <f>(Granger_Inventory[[#This Row],[att_gar]]+Granger_Inventory[[#This Row],[blt_gar]])*Lookups!$B$18</f>
        <v>0</v>
      </c>
      <c r="BO282" s="8">
        <f>Granger_Inventory[[#This Row],[Patio]]*Lookups!$B$19</f>
        <v>10211.238047999999</v>
      </c>
      <c r="BP282" s="8">
        <f>SUM(Granger_Inventory[[#This Row],[Intercept]:[Patio_Value]])*Granger_Inventory[[#This Row],[res_pct]]</f>
        <v>153143.64648827459</v>
      </c>
      <c r="BQ282" s="8">
        <f>Granger_Inventory[[#This Row],[land_value]]</f>
        <v>29059.09250674201</v>
      </c>
      <c r="BR282" s="4">
        <f>_xlfn.IFNA(VLOOKUP(Granger_Inventory[[#This Row],[quality]],Lookups!$A$25:$C$35,3,FALSE),1)</f>
        <v>0.77695375541795109</v>
      </c>
      <c r="BS282" s="4">
        <f>_xlfn.IFNA(VLOOKUP(Granger_Inventory[[#This Row],[condition]],Lookups!$A$38:$C$45,3,FALSE),1)</f>
        <v>0.92294678898076177</v>
      </c>
      <c r="BT282" s="4">
        <f>IF(Granger_Inventory[[#This Row],[decade]]="",1,_xlfn.IFNA(VLOOKUP(Granger_Inventory[[#This Row],[decade]],Lookups!$G$28:$I$42,3,FALSE),1))</f>
        <v>0.95234610137492615</v>
      </c>
      <c r="BU282" s="4">
        <f>_xlfn.IFNA(VLOOKUP(Granger_Inventory[[#This Row],[living_area_range]],Lookups!$A$48:$C$57,3,FALSE),1)</f>
        <v>0.97960506760539345</v>
      </c>
      <c r="BV282" s="4">
        <f>AVERAGE(Granger_Inventory[[#This Row],[qual_adj]:[living_range_adj]])</f>
        <v>0.90796292834475811</v>
      </c>
      <c r="BW282" s="8">
        <f>(Granger_Inventory[[#This Row],[sum_land]]-IF(Granger_Inventory[[#This Row],[no_utilities]]=1,12000,0))/IF(Granger_Inventory[[#This Row],[unbuildable]]=1,2,1)</f>
        <v>29059.09250674201</v>
      </c>
      <c r="BX282" s="8">
        <f>Granger_Inventory[[#This Row],[pre_res]]*Granger_Inventory[[#This Row],[overall_adj]]</f>
        <v>139048.75372288824</v>
      </c>
      <c r="BY282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82">
        <f>ROUND(Granger_Inventory[[#This Row],[detatched_value]]*Lookups!$I$45,-2)</f>
        <v>0</v>
      </c>
      <c r="CA282">
        <f>IF(ROUND(Granger_Inventory[[#This Row],[adj_res]]*Lookups!$I$45,-2)&lt;Granger_Inventory[[#This Row],[min_res]],Granger_Inventory[[#This Row],[min_res]],ROUND(Granger_Inventory[[#This Row],[adj_res]]*Lookups!$I$45,-2))</f>
        <v>132100</v>
      </c>
      <c r="CB282">
        <f>Granger_Inventory[[#This Row],[final_det]]+Granger_Inventory[[#This Row],[final_res]]</f>
        <v>132100</v>
      </c>
      <c r="CC282">
        <f>Granger_Inventory[[#This Row],[final_land]]+Granger_Inventory[[#This Row],[final_imp]]+Granger_Inventory[[#This Row],[crop_value]]</f>
        <v>159700</v>
      </c>
      <c r="CE282" t="str">
        <f t="shared" si="4"/>
        <v>update valuation set market_land =27600, market_bldg=132100, market_total =159700, market_mdno =402, market_date ='9/10/2023' where link_id = (select link_id from parcel where parcel_year = '2024' and parcel_id = '21102111529');</v>
      </c>
    </row>
    <row r="283" spans="1:83" x14ac:dyDescent="0.25">
      <c r="A283">
        <v>21102111533</v>
      </c>
      <c r="B283">
        <v>0.21</v>
      </c>
      <c r="C283">
        <v>8936</v>
      </c>
      <c r="D283" t="s">
        <v>137</v>
      </c>
      <c r="E283" t="s">
        <v>54</v>
      </c>
      <c r="F283" t="s">
        <v>54</v>
      </c>
      <c r="G283">
        <v>3</v>
      </c>
      <c r="H283" t="s">
        <v>55</v>
      </c>
      <c r="I283">
        <v>105300</v>
      </c>
      <c r="J283">
        <v>28300</v>
      </c>
      <c r="K283">
        <v>0.21</v>
      </c>
      <c r="L283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83">
        <v>0</v>
      </c>
      <c r="N283">
        <v>0</v>
      </c>
      <c r="O283">
        <v>0</v>
      </c>
      <c r="P283">
        <v>47108.068500000001</v>
      </c>
      <c r="Q283">
        <v>122298</v>
      </c>
      <c r="R283">
        <f>(Granger_Inventory[[#This Row],[ln_acres]]*Granger_Inventory[[#This Row],[coeff]])+Granger_Inventory[[#This Row],[const]]</f>
        <v>48778.898970377239</v>
      </c>
      <c r="S283" t="s">
        <v>69</v>
      </c>
      <c r="T283">
        <v>1</v>
      </c>
      <c r="U283" t="s">
        <v>78</v>
      </c>
      <c r="V283" t="s">
        <v>77</v>
      </c>
      <c r="W283">
        <v>0</v>
      </c>
      <c r="X283">
        <v>0</v>
      </c>
      <c r="Y283">
        <v>51</v>
      </c>
      <c r="Z283">
        <v>83</v>
      </c>
      <c r="AA283">
        <v>90</v>
      </c>
      <c r="AB283">
        <v>1500</v>
      </c>
      <c r="AC283">
        <v>1300</v>
      </c>
      <c r="AD283">
        <v>1300</v>
      </c>
      <c r="AE283">
        <v>0</v>
      </c>
      <c r="AF283">
        <v>0</v>
      </c>
      <c r="AG283">
        <v>0</v>
      </c>
      <c r="AH283">
        <v>80</v>
      </c>
      <c r="AI283">
        <v>0</v>
      </c>
      <c r="AJ283">
        <v>0</v>
      </c>
      <c r="AK283">
        <v>240</v>
      </c>
      <c r="AL283">
        <v>0</v>
      </c>
      <c r="AM283">
        <v>312</v>
      </c>
      <c r="AN283">
        <v>0</v>
      </c>
      <c r="AO283">
        <v>50</v>
      </c>
      <c r="AP283">
        <v>5</v>
      </c>
      <c r="AQ283">
        <v>0</v>
      </c>
      <c r="AR283">
        <v>0</v>
      </c>
      <c r="AS283" t="s">
        <v>59</v>
      </c>
      <c r="AT283">
        <v>1</v>
      </c>
      <c r="AU283" t="s">
        <v>60</v>
      </c>
      <c r="AV283" t="s">
        <v>61</v>
      </c>
      <c r="AW283">
        <v>0</v>
      </c>
      <c r="AX283">
        <v>3</v>
      </c>
      <c r="AY283">
        <v>0</v>
      </c>
      <c r="AZ283">
        <v>0</v>
      </c>
      <c r="BA283">
        <v>100</v>
      </c>
      <c r="BB283">
        <v>100</v>
      </c>
      <c r="BC283">
        <v>100</v>
      </c>
      <c r="BD283">
        <v>100</v>
      </c>
      <c r="BE283">
        <v>1</v>
      </c>
      <c r="BF283">
        <v>15000</v>
      </c>
      <c r="BG283">
        <v>1000</v>
      </c>
      <c r="BH283" s="8">
        <f>Granger_Inventory[[#This Row],[land_extract]]*Lookups!$B$3</f>
        <v>29059.09250674201</v>
      </c>
      <c r="BI283" s="8">
        <f>IF(Granger_Inventory[[#This Row],[bldg_style]]="",0,Lookups!$B$2)</f>
        <v>29703.559000000001</v>
      </c>
      <c r="BJ283" s="8">
        <f>_xlfn.IFNA(VLOOKUP(Granger_Inventory[[#This Row],[quality]],Lookups!$H$2:$J$14,3,FALSE),0)</f>
        <v>23737.786340274597</v>
      </c>
      <c r="BK283" s="8">
        <f>_xlfn.IFNA(VLOOKUP(Granger_Inventory[[#This Row],[condition]],Lookups!$H$17:$J$24,3,FALSE),0)</f>
        <v>33736</v>
      </c>
      <c r="BL283" s="8">
        <f>Granger_Inventory[[#This Row],[Age]]*Lookups!$B$16</f>
        <v>-17208.481299999999</v>
      </c>
      <c r="BM283" s="8">
        <f>Granger_Inventory[[#This Row],[living_area]]*Lookups!$B$17</f>
        <v>87454.781699999992</v>
      </c>
      <c r="BN283" s="8">
        <f>(Granger_Inventory[[#This Row],[att_gar]]+Granger_Inventory[[#This Row],[blt_gar]])*Lookups!$B$18</f>
        <v>0</v>
      </c>
      <c r="BO283" s="8">
        <f>Granger_Inventory[[#This Row],[Patio]]*Lookups!$B$19</f>
        <v>16946.309952</v>
      </c>
      <c r="BP283" s="8">
        <f>SUM(Granger_Inventory[[#This Row],[Intercept]:[Patio_Value]])*Granger_Inventory[[#This Row],[res_pct]]</f>
        <v>174369.95569227458</v>
      </c>
      <c r="BQ283" s="8">
        <f>Granger_Inventory[[#This Row],[land_value]]</f>
        <v>29059.09250674201</v>
      </c>
      <c r="BR283" s="4">
        <f>_xlfn.IFNA(VLOOKUP(Granger_Inventory[[#This Row],[quality]],Lookups!$A$25:$C$35,3,FALSE),1)</f>
        <v>0.77695375541795109</v>
      </c>
      <c r="BS283" s="4">
        <f>_xlfn.IFNA(VLOOKUP(Granger_Inventory[[#This Row],[condition]],Lookups!$A$38:$C$45,3,FALSE),1)</f>
        <v>0.92294678898076177</v>
      </c>
      <c r="BT283" s="4">
        <f>IF(Granger_Inventory[[#This Row],[decade]]="",1,_xlfn.IFNA(VLOOKUP(Granger_Inventory[[#This Row],[decade]],Lookups!$G$28:$I$42,3,FALSE),1))</f>
        <v>0.95234610137492615</v>
      </c>
      <c r="BU283" s="4">
        <f>_xlfn.IFNA(VLOOKUP(Granger_Inventory[[#This Row],[living_area_range]],Lookups!$A$48:$C$57,3,FALSE),1)</f>
        <v>0.97960506760539345</v>
      </c>
      <c r="BV283" s="4">
        <f>AVERAGE(Granger_Inventory[[#This Row],[qual_adj]:[living_range_adj]])</f>
        <v>0.90796292834475811</v>
      </c>
      <c r="BW283" s="8">
        <f>(Granger_Inventory[[#This Row],[sum_land]]-IF(Granger_Inventory[[#This Row],[no_utilities]]=1,12000,0))/IF(Granger_Inventory[[#This Row],[unbuildable]]=1,2,1)</f>
        <v>29059.09250674201</v>
      </c>
      <c r="BX283" s="8">
        <f>Granger_Inventory[[#This Row],[pre_res]]*Granger_Inventory[[#This Row],[overall_adj]]</f>
        <v>158321.45558570334</v>
      </c>
      <c r="BY283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83">
        <f>ROUND(Granger_Inventory[[#This Row],[detatched_value]]*Lookups!$I$45,-2)</f>
        <v>0</v>
      </c>
      <c r="CA283">
        <f>IF(ROUND(Granger_Inventory[[#This Row],[adj_res]]*Lookups!$I$45,-2)&lt;Granger_Inventory[[#This Row],[min_res]],Granger_Inventory[[#This Row],[min_res]],ROUND(Granger_Inventory[[#This Row],[adj_res]]*Lookups!$I$45,-2))</f>
        <v>150400</v>
      </c>
      <c r="CB283">
        <f>Granger_Inventory[[#This Row],[final_det]]+Granger_Inventory[[#This Row],[final_res]]</f>
        <v>150400</v>
      </c>
      <c r="CC283">
        <f>Granger_Inventory[[#This Row],[final_land]]+Granger_Inventory[[#This Row],[final_imp]]+Granger_Inventory[[#This Row],[crop_value]]</f>
        <v>178000</v>
      </c>
      <c r="CE283" t="str">
        <f t="shared" si="4"/>
        <v>update valuation set market_land =27600, market_bldg=150400, market_total =178000, market_mdno =402, market_date ='9/10/2023' where link_id = (select link_id from parcel where parcel_year = '2024' and parcel_id = '21102111533');</v>
      </c>
    </row>
    <row r="284" spans="1:83" x14ac:dyDescent="0.25">
      <c r="A284">
        <v>21102111534</v>
      </c>
      <c r="B284">
        <v>0.31</v>
      </c>
      <c r="C284">
        <v>13445</v>
      </c>
      <c r="D284" t="s">
        <v>137</v>
      </c>
      <c r="E284" t="s">
        <v>54</v>
      </c>
      <c r="F284" t="s">
        <v>54</v>
      </c>
      <c r="G284">
        <v>3</v>
      </c>
      <c r="H284" t="s">
        <v>55</v>
      </c>
      <c r="I284">
        <v>104200</v>
      </c>
      <c r="J284">
        <v>30600</v>
      </c>
      <c r="K284">
        <v>0.31</v>
      </c>
      <c r="L284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284">
        <v>0</v>
      </c>
      <c r="N284">
        <v>0</v>
      </c>
      <c r="O284">
        <v>0</v>
      </c>
      <c r="P284">
        <v>47108.068500000001</v>
      </c>
      <c r="Q284">
        <v>122298</v>
      </c>
      <c r="R284">
        <f>(Granger_Inventory[[#This Row],[ln_acres]]*Granger_Inventory[[#This Row],[coeff]])+Granger_Inventory[[#This Row],[const]]</f>
        <v>67125.831881325023</v>
      </c>
      <c r="S284" t="s">
        <v>69</v>
      </c>
      <c r="T284">
        <v>1</v>
      </c>
      <c r="U284" t="s">
        <v>71</v>
      </c>
      <c r="V284" t="s">
        <v>77</v>
      </c>
      <c r="W284">
        <v>0</v>
      </c>
      <c r="X284">
        <v>0</v>
      </c>
      <c r="Y284">
        <v>52</v>
      </c>
      <c r="Z284">
        <v>88</v>
      </c>
      <c r="AA284">
        <v>90</v>
      </c>
      <c r="AB284">
        <v>1500</v>
      </c>
      <c r="AC284">
        <v>1308</v>
      </c>
      <c r="AD284">
        <v>1308</v>
      </c>
      <c r="AE284">
        <v>0</v>
      </c>
      <c r="AF284">
        <v>0</v>
      </c>
      <c r="AG284">
        <v>0</v>
      </c>
      <c r="AH284">
        <v>1176</v>
      </c>
      <c r="AI284">
        <v>0</v>
      </c>
      <c r="AJ284">
        <v>0</v>
      </c>
      <c r="AK284">
        <v>720</v>
      </c>
      <c r="AL284">
        <v>0</v>
      </c>
      <c r="AM284">
        <v>0</v>
      </c>
      <c r="AN284">
        <v>54</v>
      </c>
      <c r="AO284">
        <v>0</v>
      </c>
      <c r="AP284">
        <v>5</v>
      </c>
      <c r="AQ284">
        <v>1</v>
      </c>
      <c r="AR284">
        <v>0</v>
      </c>
      <c r="AS284" t="s">
        <v>59</v>
      </c>
      <c r="AT284">
        <v>1</v>
      </c>
      <c r="AU284" t="s">
        <v>68</v>
      </c>
      <c r="AV284" t="s">
        <v>65</v>
      </c>
      <c r="AW284">
        <v>0</v>
      </c>
      <c r="AX284">
        <v>2</v>
      </c>
      <c r="AY284">
        <v>0</v>
      </c>
      <c r="AZ284">
        <v>0</v>
      </c>
      <c r="BA284">
        <v>100</v>
      </c>
      <c r="BB284">
        <v>100</v>
      </c>
      <c r="BC284">
        <v>100</v>
      </c>
      <c r="BD284">
        <v>100</v>
      </c>
      <c r="BE284">
        <v>1</v>
      </c>
      <c r="BF284">
        <v>15000</v>
      </c>
      <c r="BG284">
        <v>1000</v>
      </c>
      <c r="BH284" s="8">
        <f>Granger_Inventory[[#This Row],[land_extract]]*Lookups!$B$3</f>
        <v>39988.925527327257</v>
      </c>
      <c r="BI284" s="8">
        <f>IF(Granger_Inventory[[#This Row],[bldg_style]]="",0,Lookups!$B$2)</f>
        <v>29703.559000000001</v>
      </c>
      <c r="BJ284" s="8">
        <f>_xlfn.IFNA(VLOOKUP(Granger_Inventory[[#This Row],[quality]],Lookups!$H$2:$J$14,3,FALSE),0)</f>
        <v>34195</v>
      </c>
      <c r="BK284" s="8">
        <f>_xlfn.IFNA(VLOOKUP(Granger_Inventory[[#This Row],[condition]],Lookups!$H$17:$J$24,3,FALSE),0)</f>
        <v>33736</v>
      </c>
      <c r="BL284" s="8">
        <f>Granger_Inventory[[#This Row],[Age]]*Lookups!$B$16</f>
        <v>-18245.1368</v>
      </c>
      <c r="BM284" s="8">
        <f>Granger_Inventory[[#This Row],[living_area]]*Lookups!$B$17</f>
        <v>87992.964972000002</v>
      </c>
      <c r="BN284" s="8">
        <f>(Granger_Inventory[[#This Row],[att_gar]]+Granger_Inventory[[#This Row],[blt_gar]])*Lookups!$B$18</f>
        <v>0</v>
      </c>
      <c r="BO284" s="8">
        <f>Granger_Inventory[[#This Row],[Patio]]*Lookups!$B$19</f>
        <v>0</v>
      </c>
      <c r="BP284" s="8">
        <f>SUM(Granger_Inventory[[#This Row],[Intercept]:[Patio_Value]])*Granger_Inventory[[#This Row],[res_pct]]</f>
        <v>167382.38717200002</v>
      </c>
      <c r="BQ284" s="8">
        <f>Granger_Inventory[[#This Row],[land_value]]</f>
        <v>39988.925527327257</v>
      </c>
      <c r="BR284" s="4">
        <f>_xlfn.IFNA(VLOOKUP(Granger_Inventory[[#This Row],[quality]],Lookups!$A$25:$C$35,3,FALSE),1)</f>
        <v>0.98258795897788032</v>
      </c>
      <c r="BS284" s="4">
        <f>_xlfn.IFNA(VLOOKUP(Granger_Inventory[[#This Row],[condition]],Lookups!$A$38:$C$45,3,FALSE),1)</f>
        <v>0.92294678898076177</v>
      </c>
      <c r="BT284" s="4">
        <f>IF(Granger_Inventory[[#This Row],[decade]]="",1,_xlfn.IFNA(VLOOKUP(Granger_Inventory[[#This Row],[decade]],Lookups!$G$28:$I$42,3,FALSE),1))</f>
        <v>0.95234610137492615</v>
      </c>
      <c r="BU284" s="4">
        <f>_xlfn.IFNA(VLOOKUP(Granger_Inventory[[#This Row],[living_area_range]],Lookups!$A$48:$C$57,3,FALSE),1)</f>
        <v>0.97960506760539345</v>
      </c>
      <c r="BV284" s="4">
        <f>AVERAGE(Granger_Inventory[[#This Row],[qual_adj]:[living_range_adj]])</f>
        <v>0.95937147923474042</v>
      </c>
      <c r="BW284" s="8">
        <f>(Granger_Inventory[[#This Row],[sum_land]]-IF(Granger_Inventory[[#This Row],[no_utilities]]=1,12000,0))/IF(Granger_Inventory[[#This Row],[unbuildable]]=1,2,1)</f>
        <v>39988.925527327257</v>
      </c>
      <c r="BX284" s="8">
        <f>Granger_Inventory[[#This Row],[pre_res]]*Granger_Inventory[[#This Row],[overall_adj]]</f>
        <v>160581.8883790437</v>
      </c>
      <c r="BY284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284">
        <f>ROUND(Granger_Inventory[[#This Row],[detatched_value]]*Lookups!$I$45,-2)</f>
        <v>0</v>
      </c>
      <c r="CA284">
        <f>IF(ROUND(Granger_Inventory[[#This Row],[adj_res]]*Lookups!$I$45,-2)&lt;Granger_Inventory[[#This Row],[min_res]],Granger_Inventory[[#This Row],[min_res]],ROUND(Granger_Inventory[[#This Row],[adj_res]]*Lookups!$I$45,-2))</f>
        <v>152600</v>
      </c>
      <c r="CB284">
        <f>Granger_Inventory[[#This Row],[final_det]]+Granger_Inventory[[#This Row],[final_res]]</f>
        <v>152600</v>
      </c>
      <c r="CC284">
        <f>Granger_Inventory[[#This Row],[final_land]]+Granger_Inventory[[#This Row],[final_imp]]+Granger_Inventory[[#This Row],[crop_value]]</f>
        <v>190600</v>
      </c>
      <c r="CE284" t="str">
        <f t="shared" si="4"/>
        <v>update valuation set market_land =38000, market_bldg=152600, market_total =190600, market_mdno =402, market_date ='9/10/2023' where link_id = (select link_id from parcel where parcel_year = '2024' and parcel_id = '21102111534');</v>
      </c>
    </row>
    <row r="285" spans="1:83" x14ac:dyDescent="0.25">
      <c r="A285">
        <v>21102111535</v>
      </c>
      <c r="B285">
        <v>0.31</v>
      </c>
      <c r="C285">
        <v>13584</v>
      </c>
      <c r="D285" t="s">
        <v>137</v>
      </c>
      <c r="E285" t="s">
        <v>54</v>
      </c>
      <c r="F285" t="s">
        <v>54</v>
      </c>
      <c r="G285">
        <v>3</v>
      </c>
      <c r="H285" t="s">
        <v>55</v>
      </c>
      <c r="I285">
        <v>70200</v>
      </c>
      <c r="J285">
        <v>30600</v>
      </c>
      <c r="K285">
        <v>0.31</v>
      </c>
      <c r="L285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285">
        <v>0</v>
      </c>
      <c r="N285">
        <v>0</v>
      </c>
      <c r="O285">
        <v>0</v>
      </c>
      <c r="P285">
        <v>47108.068500000001</v>
      </c>
      <c r="Q285">
        <v>122298</v>
      </c>
      <c r="R285">
        <f>(Granger_Inventory[[#This Row],[ln_acres]]*Granger_Inventory[[#This Row],[coeff]])+Granger_Inventory[[#This Row],[const]]</f>
        <v>67125.831881325023</v>
      </c>
      <c r="S285" t="s">
        <v>62</v>
      </c>
      <c r="T285">
        <v>1</v>
      </c>
      <c r="U285" t="s">
        <v>78</v>
      </c>
      <c r="V285" t="s">
        <v>77</v>
      </c>
      <c r="W285">
        <v>0</v>
      </c>
      <c r="X285">
        <v>0</v>
      </c>
      <c r="Y285">
        <v>52</v>
      </c>
      <c r="Z285">
        <v>88</v>
      </c>
      <c r="AA285">
        <v>90</v>
      </c>
      <c r="AB285">
        <v>1000</v>
      </c>
      <c r="AC285">
        <v>998</v>
      </c>
      <c r="AD285">
        <v>998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5</v>
      </c>
      <c r="AQ285">
        <v>0</v>
      </c>
      <c r="AR285">
        <v>0</v>
      </c>
      <c r="AS285" t="s">
        <v>59</v>
      </c>
      <c r="AT285">
        <v>1</v>
      </c>
      <c r="AU285" t="s">
        <v>60</v>
      </c>
      <c r="AV285" t="s">
        <v>61</v>
      </c>
      <c r="AW285">
        <v>0</v>
      </c>
      <c r="AX285">
        <v>2</v>
      </c>
      <c r="AY285">
        <v>0</v>
      </c>
      <c r="AZ285">
        <v>1200</v>
      </c>
      <c r="BA285">
        <v>100</v>
      </c>
      <c r="BB285">
        <v>100</v>
      </c>
      <c r="BC285">
        <v>100</v>
      </c>
      <c r="BD285">
        <v>100</v>
      </c>
      <c r="BE285">
        <v>1</v>
      </c>
      <c r="BF285">
        <v>15000</v>
      </c>
      <c r="BG285">
        <v>1000</v>
      </c>
      <c r="BH285" s="8">
        <f>Granger_Inventory[[#This Row],[land_extract]]*Lookups!$B$3</f>
        <v>39988.925527327257</v>
      </c>
      <c r="BI285" s="8">
        <f>IF(Granger_Inventory[[#This Row],[bldg_style]]="",0,Lookups!$B$2)</f>
        <v>29703.559000000001</v>
      </c>
      <c r="BJ285" s="8">
        <f>_xlfn.IFNA(VLOOKUP(Granger_Inventory[[#This Row],[quality]],Lookups!$H$2:$J$14,3,FALSE),0)</f>
        <v>23737.786340274597</v>
      </c>
      <c r="BK285" s="8">
        <f>_xlfn.IFNA(VLOOKUP(Granger_Inventory[[#This Row],[condition]],Lookups!$H$17:$J$24,3,FALSE),0)</f>
        <v>33736</v>
      </c>
      <c r="BL285" s="8">
        <f>Granger_Inventory[[#This Row],[Age]]*Lookups!$B$16</f>
        <v>-18245.1368</v>
      </c>
      <c r="BM285" s="8">
        <f>Granger_Inventory[[#This Row],[living_area]]*Lookups!$B$17</f>
        <v>67138.363182000001</v>
      </c>
      <c r="BN285" s="8">
        <f>(Granger_Inventory[[#This Row],[att_gar]]+Granger_Inventory[[#This Row],[blt_gar]])*Lookups!$B$18</f>
        <v>0</v>
      </c>
      <c r="BO285" s="8">
        <f>Granger_Inventory[[#This Row],[Patio]]*Lookups!$B$19</f>
        <v>0</v>
      </c>
      <c r="BP285" s="8">
        <f>SUM(Granger_Inventory[[#This Row],[Intercept]:[Patio_Value]])*Granger_Inventory[[#This Row],[res_pct]]</f>
        <v>136070.57172227459</v>
      </c>
      <c r="BQ285" s="8">
        <f>Granger_Inventory[[#This Row],[land_value]]</f>
        <v>39988.925527327257</v>
      </c>
      <c r="BR285" s="4">
        <f>_xlfn.IFNA(VLOOKUP(Granger_Inventory[[#This Row],[quality]],Lookups!$A$25:$C$35,3,FALSE),1)</f>
        <v>0.77695375541795109</v>
      </c>
      <c r="BS285" s="4">
        <f>_xlfn.IFNA(VLOOKUP(Granger_Inventory[[#This Row],[condition]],Lookups!$A$38:$C$45,3,FALSE),1)</f>
        <v>0.92294678898076177</v>
      </c>
      <c r="BT285" s="4">
        <f>IF(Granger_Inventory[[#This Row],[decade]]="",1,_xlfn.IFNA(VLOOKUP(Granger_Inventory[[#This Row],[decade]],Lookups!$G$28:$I$42,3,FALSE),1))</f>
        <v>0.95234610137492615</v>
      </c>
      <c r="BU285" s="4">
        <f>_xlfn.IFNA(VLOOKUP(Granger_Inventory[[#This Row],[living_area_range]],Lookups!$A$48:$C$57,3,FALSE),1)</f>
        <v>0.81272404900450645</v>
      </c>
      <c r="BV285" s="4">
        <f>AVERAGE(Granger_Inventory[[#This Row],[qual_adj]:[living_range_adj]])</f>
        <v>0.86624267369453634</v>
      </c>
      <c r="BW285" s="8">
        <f>(Granger_Inventory[[#This Row],[sum_land]]-IF(Granger_Inventory[[#This Row],[no_utilities]]=1,12000,0))/IF(Granger_Inventory[[#This Row],[unbuildable]]=1,2,1)</f>
        <v>39988.925527327257</v>
      </c>
      <c r="BX285" s="8">
        <f>Granger_Inventory[[#This Row],[pre_res]]*Granger_Inventory[[#This Row],[overall_adj]]</f>
        <v>117870.13585984732</v>
      </c>
      <c r="BY285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285">
        <f>ROUND(Granger_Inventory[[#This Row],[detatched_value]]*Lookups!$I$45,-2)</f>
        <v>1100</v>
      </c>
      <c r="CA285">
        <f>IF(ROUND(Granger_Inventory[[#This Row],[adj_res]]*Lookups!$I$45,-2)&lt;Granger_Inventory[[#This Row],[min_res]],Granger_Inventory[[#This Row],[min_res]],ROUND(Granger_Inventory[[#This Row],[adj_res]]*Lookups!$I$45,-2))</f>
        <v>112000</v>
      </c>
      <c r="CB285">
        <f>Granger_Inventory[[#This Row],[final_det]]+Granger_Inventory[[#This Row],[final_res]]</f>
        <v>113100</v>
      </c>
      <c r="CC285">
        <f>Granger_Inventory[[#This Row],[final_land]]+Granger_Inventory[[#This Row],[final_imp]]+Granger_Inventory[[#This Row],[crop_value]]</f>
        <v>151100</v>
      </c>
      <c r="CE285" t="str">
        <f t="shared" si="4"/>
        <v>update valuation set market_land =38000, market_bldg=113100, market_total =151100, market_mdno =402, market_date ='9/10/2023' where link_id = (select link_id from parcel where parcel_year = '2024' and parcel_id = '21102111535');</v>
      </c>
    </row>
    <row r="286" spans="1:83" x14ac:dyDescent="0.25">
      <c r="A286">
        <v>21102111536</v>
      </c>
      <c r="B286">
        <v>0.21</v>
      </c>
      <c r="C286">
        <v>9240</v>
      </c>
      <c r="D286" t="s">
        <v>137</v>
      </c>
      <c r="E286" t="s">
        <v>54</v>
      </c>
      <c r="F286" t="s">
        <v>54</v>
      </c>
      <c r="G286">
        <v>3</v>
      </c>
      <c r="H286" t="s">
        <v>55</v>
      </c>
      <c r="I286">
        <v>221100</v>
      </c>
      <c r="J286">
        <v>28300</v>
      </c>
      <c r="K286">
        <v>0.21</v>
      </c>
      <c r="L286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86">
        <v>0</v>
      </c>
      <c r="N286">
        <v>0</v>
      </c>
      <c r="O286">
        <v>0</v>
      </c>
      <c r="P286">
        <v>47108.068500000001</v>
      </c>
      <c r="Q286">
        <v>122298</v>
      </c>
      <c r="R286">
        <f>(Granger_Inventory[[#This Row],[ln_acres]]*Granger_Inventory[[#This Row],[coeff]])+Granger_Inventory[[#This Row],[const]]</f>
        <v>48778.898970377239</v>
      </c>
      <c r="S286" t="s">
        <v>62</v>
      </c>
      <c r="T286">
        <v>2</v>
      </c>
      <c r="U286" t="s">
        <v>64</v>
      </c>
      <c r="V286" t="s">
        <v>79</v>
      </c>
      <c r="W286">
        <v>0</v>
      </c>
      <c r="X286">
        <v>0</v>
      </c>
      <c r="Y286">
        <v>51</v>
      </c>
      <c r="Z286">
        <v>78</v>
      </c>
      <c r="AA286">
        <v>80</v>
      </c>
      <c r="AB286">
        <v>2500</v>
      </c>
      <c r="AC286">
        <v>2184</v>
      </c>
      <c r="AD286">
        <v>1512</v>
      </c>
      <c r="AE286">
        <v>672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216</v>
      </c>
      <c r="AM286">
        <v>144</v>
      </c>
      <c r="AN286">
        <v>0</v>
      </c>
      <c r="AO286">
        <v>216</v>
      </c>
      <c r="AP286">
        <v>11</v>
      </c>
      <c r="AQ286">
        <v>0</v>
      </c>
      <c r="AR286">
        <v>0</v>
      </c>
      <c r="AS286" t="s">
        <v>59</v>
      </c>
      <c r="AT286">
        <v>1</v>
      </c>
      <c r="AU286" t="s">
        <v>60</v>
      </c>
      <c r="AV286" t="s">
        <v>61</v>
      </c>
      <c r="AW286">
        <v>0</v>
      </c>
      <c r="AX286">
        <v>3</v>
      </c>
      <c r="AY286">
        <v>0</v>
      </c>
      <c r="AZ286">
        <v>20400</v>
      </c>
      <c r="BA286">
        <v>100</v>
      </c>
      <c r="BB286">
        <v>100</v>
      </c>
      <c r="BC286">
        <v>100</v>
      </c>
      <c r="BD286">
        <v>100</v>
      </c>
      <c r="BE286">
        <v>1</v>
      </c>
      <c r="BF286">
        <v>15000</v>
      </c>
      <c r="BG286">
        <v>1000</v>
      </c>
      <c r="BH286" s="8">
        <f>Granger_Inventory[[#This Row],[land_extract]]*Lookups!$B$3</f>
        <v>29059.09250674201</v>
      </c>
      <c r="BI286" s="8">
        <f>IF(Granger_Inventory[[#This Row],[bldg_style]]="",0,Lookups!$B$2)</f>
        <v>29703.559000000001</v>
      </c>
      <c r="BJ286" s="8">
        <f>_xlfn.IFNA(VLOOKUP(Granger_Inventory[[#This Row],[quality]],Lookups!$H$2:$J$14,3,FALSE),0)</f>
        <v>36568</v>
      </c>
      <c r="BK286" s="8">
        <f>_xlfn.IFNA(VLOOKUP(Granger_Inventory[[#This Row],[condition]],Lookups!$H$17:$J$24,3,FALSE),0)</f>
        <v>86727</v>
      </c>
      <c r="BL286" s="8">
        <f>Granger_Inventory[[#This Row],[Age]]*Lookups!$B$16</f>
        <v>-16171.825799999999</v>
      </c>
      <c r="BM286" s="8">
        <f>Granger_Inventory[[#This Row],[living_area]]*Lookups!$B$17</f>
        <v>146924.033256</v>
      </c>
      <c r="BN286" s="8">
        <f>(Granger_Inventory[[#This Row],[att_gar]]+Granger_Inventory[[#This Row],[blt_gar]])*Lookups!$B$18</f>
        <v>0</v>
      </c>
      <c r="BO286" s="8">
        <f>Granger_Inventory[[#This Row],[Patio]]*Lookups!$B$19</f>
        <v>7821.3738239999993</v>
      </c>
      <c r="BP286" s="8">
        <f>SUM(Granger_Inventory[[#This Row],[Intercept]:[Patio_Value]])*Granger_Inventory[[#This Row],[res_pct]]</f>
        <v>291572.14028000005</v>
      </c>
      <c r="BQ286" s="8">
        <f>Granger_Inventory[[#This Row],[land_value]]</f>
        <v>29059.09250674201</v>
      </c>
      <c r="BR286" s="4">
        <f>_xlfn.IFNA(VLOOKUP(Granger_Inventory[[#This Row],[quality]],Lookups!$A$25:$C$35,3,FALSE),1)</f>
        <v>0.99049976351917957</v>
      </c>
      <c r="BS286" s="4">
        <f>_xlfn.IFNA(VLOOKUP(Granger_Inventory[[#This Row],[condition]],Lookups!$A$38:$C$45,3,FALSE),1)</f>
        <v>0.85322907131620684</v>
      </c>
      <c r="BT286" s="4">
        <f>IF(Granger_Inventory[[#This Row],[decade]]="",1,_xlfn.IFNA(VLOOKUP(Granger_Inventory[[#This Row],[decade]],Lookups!$G$28:$I$42,3,FALSE),1))</f>
        <v>0.76006056002554967</v>
      </c>
      <c r="BU286" s="4">
        <f>_xlfn.IFNA(VLOOKUP(Granger_Inventory[[#This Row],[living_area_range]],Lookups!$A$48:$C$57,3,FALSE),1)</f>
        <v>1.0000039906678986</v>
      </c>
      <c r="BV286" s="4">
        <f>AVERAGE(Granger_Inventory[[#This Row],[qual_adj]:[living_range_adj]])</f>
        <v>0.90094834638220855</v>
      </c>
      <c r="BW286" s="8">
        <f>(Granger_Inventory[[#This Row],[sum_land]]-IF(Granger_Inventory[[#This Row],[no_utilities]]=1,12000,0))/IF(Granger_Inventory[[#This Row],[unbuildable]]=1,2,1)</f>
        <v>29059.09250674201</v>
      </c>
      <c r="BX286" s="8">
        <f>Granger_Inventory[[#This Row],[pre_res]]*Granger_Inventory[[#This Row],[overall_adj]]</f>
        <v>262691.43763638736</v>
      </c>
      <c r="BY286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86">
        <f>ROUND(Granger_Inventory[[#This Row],[detatched_value]]*Lookups!$I$45,-2)</f>
        <v>19400</v>
      </c>
      <c r="CA286">
        <f>IF(ROUND(Granger_Inventory[[#This Row],[adj_res]]*Lookups!$I$45,-2)&lt;Granger_Inventory[[#This Row],[min_res]],Granger_Inventory[[#This Row],[min_res]],ROUND(Granger_Inventory[[#This Row],[adj_res]]*Lookups!$I$45,-2))</f>
        <v>249600</v>
      </c>
      <c r="CB286">
        <f>Granger_Inventory[[#This Row],[final_det]]+Granger_Inventory[[#This Row],[final_res]]</f>
        <v>269000</v>
      </c>
      <c r="CC286">
        <f>Granger_Inventory[[#This Row],[final_land]]+Granger_Inventory[[#This Row],[final_imp]]+Granger_Inventory[[#This Row],[crop_value]]</f>
        <v>296600</v>
      </c>
      <c r="CE286" t="str">
        <f t="shared" si="4"/>
        <v>update valuation set market_land =27600, market_bldg=269000, market_total =296600, market_mdno =402, market_date ='9/10/2023' where link_id = (select link_id from parcel where parcel_year = '2024' and parcel_id = '21102111536');</v>
      </c>
    </row>
    <row r="287" spans="1:83" x14ac:dyDescent="0.25">
      <c r="A287">
        <v>21102111538</v>
      </c>
      <c r="B287">
        <v>0.62</v>
      </c>
      <c r="C287">
        <v>27091</v>
      </c>
      <c r="D287" t="s">
        <v>137</v>
      </c>
      <c r="E287" t="s">
        <v>54</v>
      </c>
      <c r="F287" t="s">
        <v>54</v>
      </c>
      <c r="G287">
        <v>3</v>
      </c>
      <c r="H287" t="s">
        <v>55</v>
      </c>
      <c r="I287">
        <v>96100</v>
      </c>
      <c r="J287">
        <v>34700</v>
      </c>
      <c r="K287">
        <v>0.62</v>
      </c>
      <c r="L287">
        <f>IF(Granger_Inventory[[#This Row],[parcel_acres]]-Granger_Inventory[[#This Row],[non_valued_acres]] =0,0,LN(Granger_Inventory[[#This Row],[parcel_acres]]-Granger_Inventory[[#This Row],[non_valued_acres]]))</f>
        <v>-0.4780358009429998</v>
      </c>
      <c r="M287">
        <v>0</v>
      </c>
      <c r="N287">
        <v>0</v>
      </c>
      <c r="O287">
        <v>0</v>
      </c>
      <c r="P287">
        <v>47108.068500000001</v>
      </c>
      <c r="Q287">
        <v>122298</v>
      </c>
      <c r="R287">
        <f>(Granger_Inventory[[#This Row],[ln_acres]]*Granger_Inventory[[#This Row],[coeff]])+Granger_Inventory[[#This Row],[const]]</f>
        <v>99778.656743724801</v>
      </c>
      <c r="S287" t="s">
        <v>66</v>
      </c>
      <c r="T287">
        <v>1</v>
      </c>
      <c r="U287" t="s">
        <v>64</v>
      </c>
      <c r="V287" t="s">
        <v>77</v>
      </c>
      <c r="W287">
        <v>0</v>
      </c>
      <c r="X287">
        <v>0</v>
      </c>
      <c r="Y287">
        <v>49</v>
      </c>
      <c r="Z287">
        <v>68</v>
      </c>
      <c r="AA287">
        <v>70</v>
      </c>
      <c r="AB287">
        <v>1000</v>
      </c>
      <c r="AC287">
        <v>852</v>
      </c>
      <c r="AD287">
        <v>852</v>
      </c>
      <c r="AE287">
        <v>0</v>
      </c>
      <c r="AF287">
        <v>0</v>
      </c>
      <c r="AG287">
        <v>0</v>
      </c>
      <c r="AH287">
        <v>516</v>
      </c>
      <c r="AI287">
        <v>0</v>
      </c>
      <c r="AJ287">
        <v>0</v>
      </c>
      <c r="AK287">
        <v>525</v>
      </c>
      <c r="AL287">
        <v>0</v>
      </c>
      <c r="AM287">
        <v>0</v>
      </c>
      <c r="AN287">
        <v>126</v>
      </c>
      <c r="AO287">
        <v>0</v>
      </c>
      <c r="AP287">
        <v>5</v>
      </c>
      <c r="AQ287">
        <v>1</v>
      </c>
      <c r="AR287">
        <v>1</v>
      </c>
      <c r="AS287" t="s">
        <v>59</v>
      </c>
      <c r="AT287">
        <v>1</v>
      </c>
      <c r="AU287" t="s">
        <v>67</v>
      </c>
      <c r="AV287" t="s">
        <v>65</v>
      </c>
      <c r="AW287">
        <v>1</v>
      </c>
      <c r="AX287">
        <v>2</v>
      </c>
      <c r="AY287">
        <v>0</v>
      </c>
      <c r="AZ287">
        <v>4900</v>
      </c>
      <c r="BA287">
        <v>100</v>
      </c>
      <c r="BB287">
        <v>100</v>
      </c>
      <c r="BC287">
        <v>100</v>
      </c>
      <c r="BD287">
        <v>100</v>
      </c>
      <c r="BE287">
        <v>1</v>
      </c>
      <c r="BF287">
        <v>15000</v>
      </c>
      <c r="BG287">
        <v>1000</v>
      </c>
      <c r="BH287" s="8">
        <f>Granger_Inventory[[#This Row],[land_extract]]*Lookups!$B$3</f>
        <v>59441.219004864572</v>
      </c>
      <c r="BI287" s="8">
        <f>IF(Granger_Inventory[[#This Row],[bldg_style]]="",0,Lookups!$B$2)</f>
        <v>29703.559000000001</v>
      </c>
      <c r="BJ287" s="8">
        <f>_xlfn.IFNA(VLOOKUP(Granger_Inventory[[#This Row],[quality]],Lookups!$H$2:$J$14,3,FALSE),0)</f>
        <v>36568</v>
      </c>
      <c r="BK287" s="8">
        <f>_xlfn.IFNA(VLOOKUP(Granger_Inventory[[#This Row],[condition]],Lookups!$H$17:$J$24,3,FALSE),0)</f>
        <v>33736</v>
      </c>
      <c r="BL287" s="8">
        <f>Granger_Inventory[[#This Row],[Age]]*Lookups!$B$16</f>
        <v>-14098.514799999999</v>
      </c>
      <c r="BM287" s="8">
        <f>Granger_Inventory[[#This Row],[living_area]]*Lookups!$B$17</f>
        <v>57316.518468000002</v>
      </c>
      <c r="BN287" s="8">
        <f>(Granger_Inventory[[#This Row],[att_gar]]+Granger_Inventory[[#This Row],[blt_gar]])*Lookups!$B$18</f>
        <v>0</v>
      </c>
      <c r="BO287" s="8">
        <f>Granger_Inventory[[#This Row],[Patio]]*Lookups!$B$19</f>
        <v>0</v>
      </c>
      <c r="BP287" s="8">
        <f>SUM(Granger_Inventory[[#This Row],[Intercept]:[Patio_Value]])*Granger_Inventory[[#This Row],[res_pct]]</f>
        <v>143225.562668</v>
      </c>
      <c r="BQ287" s="8">
        <f>Granger_Inventory[[#This Row],[land_value]]</f>
        <v>59441.219004864572</v>
      </c>
      <c r="BR287" s="4">
        <f>_xlfn.IFNA(VLOOKUP(Granger_Inventory[[#This Row],[quality]],Lookups!$A$25:$C$35,3,FALSE),1)</f>
        <v>0.99049976351917957</v>
      </c>
      <c r="BS287" s="4">
        <f>_xlfn.IFNA(VLOOKUP(Granger_Inventory[[#This Row],[condition]],Lookups!$A$38:$C$45,3,FALSE),1)</f>
        <v>0.92294678898076177</v>
      </c>
      <c r="BT287" s="4">
        <f>IF(Granger_Inventory[[#This Row],[decade]]="",1,_xlfn.IFNA(VLOOKUP(Granger_Inventory[[#This Row],[decade]],Lookups!$G$28:$I$42,3,FALSE),1))</f>
        <v>1.0270382440255921</v>
      </c>
      <c r="BU287" s="4">
        <f>_xlfn.IFNA(VLOOKUP(Granger_Inventory[[#This Row],[living_area_range]],Lookups!$A$48:$C$57,3,FALSE),1)</f>
        <v>0.81272404900450645</v>
      </c>
      <c r="BV287" s="4">
        <f>AVERAGE(Granger_Inventory[[#This Row],[qual_adj]:[living_range_adj]])</f>
        <v>0.93830221138250991</v>
      </c>
      <c r="BW287" s="8">
        <f>(Granger_Inventory[[#This Row],[sum_land]]-IF(Granger_Inventory[[#This Row],[no_utilities]]=1,12000,0))/IF(Granger_Inventory[[#This Row],[unbuildable]]=1,2,1)</f>
        <v>59441.219004864572</v>
      </c>
      <c r="BX287" s="8">
        <f>Granger_Inventory[[#This Row],[pre_res]]*Granger_Inventory[[#This Row],[overall_adj]]</f>
        <v>134388.86217788866</v>
      </c>
      <c r="BY287">
        <f>IF(ROUND(Granger_Inventory[[#This Row],[adj_land]]*Lookups!$I$45,-2)&lt;Granger_Inventory[[#This Row],[min_land]],Granger_Inventory[[#This Row],[min_land]],ROUND(Granger_Inventory[[#This Row],[adj_land]]*Lookups!$I$45,-2))</f>
        <v>56500</v>
      </c>
      <c r="BZ287">
        <f>ROUND(Granger_Inventory[[#This Row],[detatched_value]]*Lookups!$I$45,-2)</f>
        <v>4700</v>
      </c>
      <c r="CA287">
        <f>IF(ROUND(Granger_Inventory[[#This Row],[adj_res]]*Lookups!$I$45,-2)&lt;Granger_Inventory[[#This Row],[min_res]],Granger_Inventory[[#This Row],[min_res]],ROUND(Granger_Inventory[[#This Row],[adj_res]]*Lookups!$I$45,-2))</f>
        <v>127700</v>
      </c>
      <c r="CB287">
        <f>Granger_Inventory[[#This Row],[final_det]]+Granger_Inventory[[#This Row],[final_res]]</f>
        <v>132400</v>
      </c>
      <c r="CC287">
        <f>Granger_Inventory[[#This Row],[final_land]]+Granger_Inventory[[#This Row],[final_imp]]+Granger_Inventory[[#This Row],[crop_value]]</f>
        <v>188900</v>
      </c>
      <c r="CE287" t="str">
        <f t="shared" si="4"/>
        <v>update valuation set market_land =56500, market_bldg=132400, market_total =188900, market_mdno =402, market_date ='9/10/2023' where link_id = (select link_id from parcel where parcel_year = '2024' and parcel_id = '21102111538');</v>
      </c>
    </row>
    <row r="288" spans="1:83" x14ac:dyDescent="0.25">
      <c r="A288">
        <v>21102111539</v>
      </c>
      <c r="B288">
        <v>0.21</v>
      </c>
      <c r="C288">
        <v>9091</v>
      </c>
      <c r="D288" t="s">
        <v>137</v>
      </c>
      <c r="E288" t="s">
        <v>54</v>
      </c>
      <c r="F288" t="s">
        <v>54</v>
      </c>
      <c r="G288">
        <v>3</v>
      </c>
      <c r="H288" t="s">
        <v>55</v>
      </c>
      <c r="I288">
        <v>200300</v>
      </c>
      <c r="J288">
        <v>28300</v>
      </c>
      <c r="K288">
        <v>0.21</v>
      </c>
      <c r="L288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288">
        <v>0</v>
      </c>
      <c r="N288">
        <v>0</v>
      </c>
      <c r="O288">
        <v>0</v>
      </c>
      <c r="P288">
        <v>47108.068500000001</v>
      </c>
      <c r="Q288">
        <v>122298</v>
      </c>
      <c r="R288">
        <f>(Granger_Inventory[[#This Row],[ln_acres]]*Granger_Inventory[[#This Row],[coeff]])+Granger_Inventory[[#This Row],[const]]</f>
        <v>48778.898970377239</v>
      </c>
      <c r="S288" t="s">
        <v>62</v>
      </c>
      <c r="T288">
        <v>1</v>
      </c>
      <c r="U288" t="s">
        <v>64</v>
      </c>
      <c r="V288" t="s">
        <v>72</v>
      </c>
      <c r="W288">
        <v>0</v>
      </c>
      <c r="X288">
        <v>0</v>
      </c>
      <c r="Y288">
        <v>52</v>
      </c>
      <c r="Z288">
        <v>88</v>
      </c>
      <c r="AA288">
        <v>90</v>
      </c>
      <c r="AB288">
        <v>1500</v>
      </c>
      <c r="AC288">
        <v>1338</v>
      </c>
      <c r="AD288">
        <v>1338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65</v>
      </c>
      <c r="AN288">
        <v>224</v>
      </c>
      <c r="AO288">
        <v>0</v>
      </c>
      <c r="AP288">
        <v>8</v>
      </c>
      <c r="AQ288">
        <v>0</v>
      </c>
      <c r="AR288">
        <v>0</v>
      </c>
      <c r="AS288" t="s">
        <v>59</v>
      </c>
      <c r="AT288">
        <v>1</v>
      </c>
      <c r="AU288" t="s">
        <v>60</v>
      </c>
      <c r="AV288" t="s">
        <v>61</v>
      </c>
      <c r="AW288">
        <v>1</v>
      </c>
      <c r="AX288">
        <v>3</v>
      </c>
      <c r="AY288">
        <v>0</v>
      </c>
      <c r="AZ288">
        <v>0</v>
      </c>
      <c r="BA288">
        <v>100</v>
      </c>
      <c r="BB288">
        <v>100</v>
      </c>
      <c r="BC288">
        <v>100</v>
      </c>
      <c r="BD288">
        <v>100</v>
      </c>
      <c r="BE288">
        <v>1</v>
      </c>
      <c r="BF288">
        <v>15000</v>
      </c>
      <c r="BG288">
        <v>1000</v>
      </c>
      <c r="BH288" s="8">
        <f>Granger_Inventory[[#This Row],[land_extract]]*Lookups!$B$3</f>
        <v>29059.09250674201</v>
      </c>
      <c r="BI288" s="8">
        <f>IF(Granger_Inventory[[#This Row],[bldg_style]]="",0,Lookups!$B$2)</f>
        <v>29703.559000000001</v>
      </c>
      <c r="BJ288" s="8">
        <f>_xlfn.IFNA(VLOOKUP(Granger_Inventory[[#This Row],[quality]],Lookups!$H$2:$J$14,3,FALSE),0)</f>
        <v>36568</v>
      </c>
      <c r="BK288" s="8">
        <f>_xlfn.IFNA(VLOOKUP(Granger_Inventory[[#This Row],[condition]],Lookups!$H$17:$J$24,3,FALSE),0)</f>
        <v>94106</v>
      </c>
      <c r="BL288" s="8">
        <f>Granger_Inventory[[#This Row],[Age]]*Lookups!$B$16</f>
        <v>-18245.1368</v>
      </c>
      <c r="BM288" s="8">
        <f>Granger_Inventory[[#This Row],[living_area]]*Lookups!$B$17</f>
        <v>90011.152241999996</v>
      </c>
      <c r="BN288" s="8">
        <f>(Granger_Inventory[[#This Row],[att_gar]]+Granger_Inventory[[#This Row],[blt_gar]])*Lookups!$B$18</f>
        <v>0</v>
      </c>
      <c r="BO288" s="8">
        <f>Granger_Inventory[[#This Row],[Patio]]*Lookups!$B$19</f>
        <v>3530.4812399999996</v>
      </c>
      <c r="BP288" s="8">
        <f>SUM(Granger_Inventory[[#This Row],[Intercept]:[Patio_Value]])*Granger_Inventory[[#This Row],[res_pct]]</f>
        <v>235674.05568200001</v>
      </c>
      <c r="BQ288" s="8">
        <f>Granger_Inventory[[#This Row],[land_value]]</f>
        <v>29059.09250674201</v>
      </c>
      <c r="BR288" s="4">
        <f>_xlfn.IFNA(VLOOKUP(Granger_Inventory[[#This Row],[quality]],Lookups!$A$25:$C$35,3,FALSE),1)</f>
        <v>0.99049976351917957</v>
      </c>
      <c r="BS288" s="4">
        <f>_xlfn.IFNA(VLOOKUP(Granger_Inventory[[#This Row],[condition]],Lookups!$A$38:$C$45,3,FALSE),1)</f>
        <v>0.98658583151544277</v>
      </c>
      <c r="BT288" s="4">
        <f>IF(Granger_Inventory[[#This Row],[decade]]="",1,_xlfn.IFNA(VLOOKUP(Granger_Inventory[[#This Row],[decade]],Lookups!$G$28:$I$42,3,FALSE),1))</f>
        <v>0.95234610137492615</v>
      </c>
      <c r="BU288" s="4">
        <f>_xlfn.IFNA(VLOOKUP(Granger_Inventory[[#This Row],[living_area_range]],Lookups!$A$48:$C$57,3,FALSE),1)</f>
        <v>0.97960506760539345</v>
      </c>
      <c r="BV288" s="4">
        <f>AVERAGE(Granger_Inventory[[#This Row],[qual_adj]:[living_range_adj]])</f>
        <v>0.97725919100373548</v>
      </c>
      <c r="BW288" s="8">
        <f>(Granger_Inventory[[#This Row],[sum_land]]-IF(Granger_Inventory[[#This Row],[no_utilities]]=1,12000,0))/IF(Granger_Inventory[[#This Row],[unbuildable]]=1,2,1)</f>
        <v>29059.09250674201</v>
      </c>
      <c r="BX288" s="8">
        <f>Granger_Inventory[[#This Row],[pre_res]]*Granger_Inventory[[#This Row],[overall_adj]]</f>
        <v>230314.63699636064</v>
      </c>
      <c r="BY288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288">
        <f>ROUND(Granger_Inventory[[#This Row],[detatched_value]]*Lookups!$I$45,-2)</f>
        <v>0</v>
      </c>
      <c r="CA288">
        <f>IF(ROUND(Granger_Inventory[[#This Row],[adj_res]]*Lookups!$I$45,-2)&lt;Granger_Inventory[[#This Row],[min_res]],Granger_Inventory[[#This Row],[min_res]],ROUND(Granger_Inventory[[#This Row],[adj_res]]*Lookups!$I$45,-2))</f>
        <v>218800</v>
      </c>
      <c r="CB288">
        <f>Granger_Inventory[[#This Row],[final_det]]+Granger_Inventory[[#This Row],[final_res]]</f>
        <v>218800</v>
      </c>
      <c r="CC288">
        <f>Granger_Inventory[[#This Row],[final_land]]+Granger_Inventory[[#This Row],[final_imp]]+Granger_Inventory[[#This Row],[crop_value]]</f>
        <v>246400</v>
      </c>
      <c r="CE288" t="str">
        <f t="shared" si="4"/>
        <v>update valuation set market_land =27600, market_bldg=218800, market_total =246400, market_mdno =402, market_date ='9/10/2023' where link_id = (select link_id from parcel where parcel_year = '2024' and parcel_id = '21102111539');</v>
      </c>
    </row>
    <row r="289" spans="1:83" x14ac:dyDescent="0.25">
      <c r="A289">
        <v>21102111543</v>
      </c>
      <c r="B289">
        <v>0.38</v>
      </c>
      <c r="C289">
        <v>16356</v>
      </c>
      <c r="D289" t="s">
        <v>137</v>
      </c>
      <c r="E289" t="s">
        <v>54</v>
      </c>
      <c r="F289" t="s">
        <v>54</v>
      </c>
      <c r="G289">
        <v>3</v>
      </c>
      <c r="H289" t="s">
        <v>55</v>
      </c>
      <c r="I289">
        <v>250700</v>
      </c>
      <c r="J289">
        <v>31800</v>
      </c>
      <c r="K289">
        <v>0.38</v>
      </c>
      <c r="L289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289">
        <v>0</v>
      </c>
      <c r="N289">
        <v>0</v>
      </c>
      <c r="O289">
        <v>0</v>
      </c>
      <c r="P289">
        <v>47108.068500000001</v>
      </c>
      <c r="Q289">
        <v>122298</v>
      </c>
      <c r="R289">
        <f>(Granger_Inventory[[#This Row],[ln_acres]]*Granger_Inventory[[#This Row],[coeff]])+Granger_Inventory[[#This Row],[const]]</f>
        <v>76716.985411357775</v>
      </c>
      <c r="S289" t="s">
        <v>62</v>
      </c>
      <c r="T289">
        <v>2</v>
      </c>
      <c r="U289" t="s">
        <v>64</v>
      </c>
      <c r="V289" t="s">
        <v>79</v>
      </c>
      <c r="W289">
        <v>0</v>
      </c>
      <c r="X289">
        <v>0</v>
      </c>
      <c r="Y289">
        <v>53</v>
      </c>
      <c r="Z289">
        <v>93</v>
      </c>
      <c r="AA289">
        <v>100</v>
      </c>
      <c r="AB289">
        <v>3000</v>
      </c>
      <c r="AC289">
        <v>2811</v>
      </c>
      <c r="AD289">
        <v>2531</v>
      </c>
      <c r="AE289">
        <v>280</v>
      </c>
      <c r="AF289">
        <v>0</v>
      </c>
      <c r="AG289">
        <v>0</v>
      </c>
      <c r="AH289">
        <v>0</v>
      </c>
      <c r="AI289">
        <v>825</v>
      </c>
      <c r="AJ289">
        <v>0</v>
      </c>
      <c r="AK289">
        <v>0</v>
      </c>
      <c r="AL289">
        <v>0</v>
      </c>
      <c r="AM289">
        <v>0</v>
      </c>
      <c r="AN289">
        <v>264</v>
      </c>
      <c r="AO289">
        <v>0</v>
      </c>
      <c r="AP289">
        <v>11</v>
      </c>
      <c r="AQ289">
        <v>0</v>
      </c>
      <c r="AR289">
        <v>0</v>
      </c>
      <c r="AS289" t="s">
        <v>59</v>
      </c>
      <c r="AT289">
        <v>1</v>
      </c>
      <c r="AU289" t="s">
        <v>60</v>
      </c>
      <c r="AV289" t="s">
        <v>65</v>
      </c>
      <c r="AW289">
        <v>0</v>
      </c>
      <c r="AX289">
        <v>4</v>
      </c>
      <c r="AY289">
        <v>0</v>
      </c>
      <c r="AZ289">
        <v>0</v>
      </c>
      <c r="BA289">
        <v>100</v>
      </c>
      <c r="BB289">
        <v>100</v>
      </c>
      <c r="BC289">
        <v>100</v>
      </c>
      <c r="BD289">
        <v>77</v>
      </c>
      <c r="BE289">
        <v>0.77</v>
      </c>
      <c r="BF289">
        <v>15000</v>
      </c>
      <c r="BG289">
        <v>1000</v>
      </c>
      <c r="BH289" s="8">
        <f>Granger_Inventory[[#This Row],[land_extract]]*Lookups!$B$3</f>
        <v>45702.671092696495</v>
      </c>
      <c r="BI289" s="8">
        <f>IF(Granger_Inventory[[#This Row],[bldg_style]]="",0,Lookups!$B$2)</f>
        <v>29703.559000000001</v>
      </c>
      <c r="BJ289" s="8">
        <f>_xlfn.IFNA(VLOOKUP(Granger_Inventory[[#This Row],[quality]],Lookups!$H$2:$J$14,3,FALSE),0)</f>
        <v>36568</v>
      </c>
      <c r="BK289" s="8">
        <f>_xlfn.IFNA(VLOOKUP(Granger_Inventory[[#This Row],[condition]],Lookups!$H$17:$J$24,3,FALSE),0)</f>
        <v>86727</v>
      </c>
      <c r="BL289" s="8">
        <f>Granger_Inventory[[#This Row],[Age]]*Lookups!$B$16</f>
        <v>-19281.792300000001</v>
      </c>
      <c r="BM289" s="8">
        <f>Granger_Inventory[[#This Row],[living_area]]*Lookups!$B$17</f>
        <v>189104.147199</v>
      </c>
      <c r="BN289" s="8">
        <f>(Granger_Inventory[[#This Row],[att_gar]]+Granger_Inventory[[#This Row],[blt_gar]])*Lookups!$B$18</f>
        <v>39969.258450000001</v>
      </c>
      <c r="BO289" s="8">
        <f>Granger_Inventory[[#This Row],[Patio]]*Lookups!$B$19</f>
        <v>0</v>
      </c>
      <c r="BP289" s="8">
        <f>SUM(Granger_Inventory[[#This Row],[Intercept]:[Patio_Value]])*Granger_Inventory[[#This Row],[res_pct]]</f>
        <v>279348.43270873005</v>
      </c>
      <c r="BQ289" s="8">
        <f>Granger_Inventory[[#This Row],[land_value]]</f>
        <v>45702.671092696495</v>
      </c>
      <c r="BR289" s="4">
        <f>_xlfn.IFNA(VLOOKUP(Granger_Inventory[[#This Row],[quality]],Lookups!$A$25:$C$35,3,FALSE),1)</f>
        <v>0.99049976351917957</v>
      </c>
      <c r="BS289" s="4">
        <f>_xlfn.IFNA(VLOOKUP(Granger_Inventory[[#This Row],[condition]],Lookups!$A$38:$C$45,3,FALSE),1)</f>
        <v>0.85322907131620684</v>
      </c>
      <c r="BT289" s="4">
        <f>IF(Granger_Inventory[[#This Row],[decade]]="",1,_xlfn.IFNA(VLOOKUP(Granger_Inventory[[#This Row],[decade]],Lookups!$G$28:$I$42,3,FALSE),1))</f>
        <v>0.879441629375324</v>
      </c>
      <c r="BU289" s="4">
        <f>_xlfn.IFNA(VLOOKUP(Granger_Inventory[[#This Row],[living_area_range]],Lookups!$A$48:$C$57,3,FALSE),1)</f>
        <v>0.99995754169072248</v>
      </c>
      <c r="BV289" s="4">
        <f>AVERAGE(Granger_Inventory[[#This Row],[qual_adj]:[living_range_adj]])</f>
        <v>0.93078200147535828</v>
      </c>
      <c r="BW289" s="8">
        <f>(Granger_Inventory[[#This Row],[sum_land]]-IF(Granger_Inventory[[#This Row],[no_utilities]]=1,12000,0))/IF(Granger_Inventory[[#This Row],[unbuildable]]=1,2,1)</f>
        <v>45702.671092696495</v>
      </c>
      <c r="BX289" s="8">
        <f>Granger_Inventory[[#This Row],[pre_res]]*Granger_Inventory[[#This Row],[overall_adj]]</f>
        <v>260012.49330563619</v>
      </c>
      <c r="BY289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289">
        <f>ROUND(Granger_Inventory[[#This Row],[detatched_value]]*Lookups!$I$45,-2)</f>
        <v>0</v>
      </c>
      <c r="CA289">
        <f>IF(ROUND(Granger_Inventory[[#This Row],[adj_res]]*Lookups!$I$45,-2)&lt;Granger_Inventory[[#This Row],[min_res]],Granger_Inventory[[#This Row],[min_res]],ROUND(Granger_Inventory[[#This Row],[adj_res]]*Lookups!$I$45,-2))</f>
        <v>247000</v>
      </c>
      <c r="CB289">
        <f>Granger_Inventory[[#This Row],[final_det]]+Granger_Inventory[[#This Row],[final_res]]</f>
        <v>247000</v>
      </c>
      <c r="CC289">
        <f>Granger_Inventory[[#This Row],[final_land]]+Granger_Inventory[[#This Row],[final_imp]]+Granger_Inventory[[#This Row],[crop_value]]</f>
        <v>290400</v>
      </c>
      <c r="CE289" t="str">
        <f t="shared" si="4"/>
        <v>update valuation set market_land =43400, market_bldg=247000, market_total =290400, market_mdno =402, market_date ='9/10/2023' where link_id = (select link_id from parcel where parcel_year = '2024' and parcel_id = '21102111543');</v>
      </c>
    </row>
    <row r="290" spans="1:83" x14ac:dyDescent="0.25">
      <c r="A290">
        <v>21102111544</v>
      </c>
      <c r="B290">
        <v>0.28999999999999998</v>
      </c>
      <c r="C290">
        <v>12844</v>
      </c>
      <c r="D290" t="s">
        <v>137</v>
      </c>
      <c r="E290" t="s">
        <v>54</v>
      </c>
      <c r="F290" t="s">
        <v>54</v>
      </c>
      <c r="G290">
        <v>3</v>
      </c>
      <c r="H290" t="s">
        <v>55</v>
      </c>
      <c r="I290">
        <v>210800</v>
      </c>
      <c r="J290">
        <v>30200</v>
      </c>
      <c r="K290">
        <v>0.28999999999999998</v>
      </c>
      <c r="L290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290">
        <v>0</v>
      </c>
      <c r="N290">
        <v>0</v>
      </c>
      <c r="O290">
        <v>0</v>
      </c>
      <c r="P290">
        <v>47108.068500000001</v>
      </c>
      <c r="Q290">
        <v>122298</v>
      </c>
      <c r="R290">
        <f>(Granger_Inventory[[#This Row],[ln_acres]]*Granger_Inventory[[#This Row],[coeff]])+Granger_Inventory[[#This Row],[const]]</f>
        <v>63984.130043082419</v>
      </c>
      <c r="S290" t="s">
        <v>56</v>
      </c>
      <c r="T290">
        <v>1</v>
      </c>
      <c r="U290" t="s">
        <v>64</v>
      </c>
      <c r="V290" t="s">
        <v>70</v>
      </c>
      <c r="W290">
        <v>0</v>
      </c>
      <c r="X290">
        <v>0</v>
      </c>
      <c r="Y290">
        <v>19</v>
      </c>
      <c r="Z290">
        <v>19</v>
      </c>
      <c r="AA290">
        <v>20</v>
      </c>
      <c r="AB290">
        <v>1500</v>
      </c>
      <c r="AC290">
        <v>1200</v>
      </c>
      <c r="AD290">
        <v>1200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208</v>
      </c>
      <c r="AM290">
        <v>0</v>
      </c>
      <c r="AN290">
        <v>0</v>
      </c>
      <c r="AO290">
        <v>0</v>
      </c>
      <c r="AP290">
        <v>8</v>
      </c>
      <c r="AQ290">
        <v>0</v>
      </c>
      <c r="AR290">
        <v>0</v>
      </c>
      <c r="AS290" t="s">
        <v>59</v>
      </c>
      <c r="AT290">
        <v>1</v>
      </c>
      <c r="AU290" t="s">
        <v>68</v>
      </c>
      <c r="AV290" t="s">
        <v>65</v>
      </c>
      <c r="AW290">
        <v>0</v>
      </c>
      <c r="AX290">
        <v>3</v>
      </c>
      <c r="AY290">
        <v>0</v>
      </c>
      <c r="AZ290">
        <v>0</v>
      </c>
      <c r="BA290">
        <v>100</v>
      </c>
      <c r="BB290">
        <v>100</v>
      </c>
      <c r="BC290">
        <v>100</v>
      </c>
      <c r="BD290">
        <v>100</v>
      </c>
      <c r="BE290">
        <v>1</v>
      </c>
      <c r="BF290">
        <v>15000</v>
      </c>
      <c r="BG290">
        <v>1000</v>
      </c>
      <c r="BH290" s="8">
        <f>Granger_Inventory[[#This Row],[land_extract]]*Lookups!$B$3</f>
        <v>38117.316977869523</v>
      </c>
      <c r="BI290" s="8">
        <f>IF(Granger_Inventory[[#This Row],[bldg_style]]="",0,Lookups!$B$2)</f>
        <v>29703.559000000001</v>
      </c>
      <c r="BJ290" s="8">
        <f>_xlfn.IFNA(VLOOKUP(Granger_Inventory[[#This Row],[quality]],Lookups!$H$2:$J$14,3,FALSE),0)</f>
        <v>36568</v>
      </c>
      <c r="BK290" s="8">
        <f>_xlfn.IFNA(VLOOKUP(Granger_Inventory[[#This Row],[condition]],Lookups!$H$17:$J$24,3,FALSE),0)</f>
        <v>80695</v>
      </c>
      <c r="BL290" s="8">
        <f>Granger_Inventory[[#This Row],[Age]]*Lookups!$B$16</f>
        <v>-3939.2909</v>
      </c>
      <c r="BM290" s="8">
        <f>Granger_Inventory[[#This Row],[living_area]]*Lookups!$B$17</f>
        <v>80727.4908</v>
      </c>
      <c r="BN290" s="8">
        <f>(Granger_Inventory[[#This Row],[att_gar]]+Granger_Inventory[[#This Row],[blt_gar]])*Lookups!$B$18</f>
        <v>0</v>
      </c>
      <c r="BO290" s="8">
        <f>Granger_Inventory[[#This Row],[Patio]]*Lookups!$B$19</f>
        <v>0</v>
      </c>
      <c r="BP290" s="8">
        <f>SUM(Granger_Inventory[[#This Row],[Intercept]:[Patio_Value]])*Granger_Inventory[[#This Row],[res_pct]]</f>
        <v>223754.75890000002</v>
      </c>
      <c r="BQ290" s="8">
        <f>Granger_Inventory[[#This Row],[land_value]]</f>
        <v>38117.316977869523</v>
      </c>
      <c r="BR290" s="4">
        <f>_xlfn.IFNA(VLOOKUP(Granger_Inventory[[#This Row],[quality]],Lookups!$A$25:$C$35,3,FALSE),1)</f>
        <v>0.99049976351917957</v>
      </c>
      <c r="BS290" s="4">
        <f>_xlfn.IFNA(VLOOKUP(Granger_Inventory[[#This Row],[condition]],Lookups!$A$38:$C$45,3,FALSE),1)</f>
        <v>0.99484195314749324</v>
      </c>
      <c r="BT290" s="4">
        <f>IF(Granger_Inventory[[#This Row],[decade]]="",1,_xlfn.IFNA(VLOOKUP(Granger_Inventory[[#This Row],[decade]],Lookups!$G$28:$I$42,3,FALSE),1))</f>
        <v>1.0159161060824455</v>
      </c>
      <c r="BU290" s="4">
        <f>_xlfn.IFNA(VLOOKUP(Granger_Inventory[[#This Row],[living_area_range]],Lookups!$A$48:$C$57,3,FALSE),1)</f>
        <v>0.97960506760539345</v>
      </c>
      <c r="BV290" s="4">
        <f>AVERAGE(Granger_Inventory[[#This Row],[qual_adj]:[living_range_adj]])</f>
        <v>0.995215722588628</v>
      </c>
      <c r="BW290" s="8">
        <f>(Granger_Inventory[[#This Row],[sum_land]]-IF(Granger_Inventory[[#This Row],[no_utilities]]=1,12000,0))/IF(Granger_Inventory[[#This Row],[unbuildable]]=1,2,1)</f>
        <v>38117.316977869523</v>
      </c>
      <c r="BX290" s="8">
        <f>Granger_Inventory[[#This Row],[pre_res]]*Granger_Inventory[[#This Row],[overall_adj]]</f>
        <v>222684.25406130776</v>
      </c>
      <c r="BY290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290">
        <f>ROUND(Granger_Inventory[[#This Row],[detatched_value]]*Lookups!$I$45,-2)</f>
        <v>0</v>
      </c>
      <c r="CA290">
        <f>IF(ROUND(Granger_Inventory[[#This Row],[adj_res]]*Lookups!$I$45,-2)&lt;Granger_Inventory[[#This Row],[min_res]],Granger_Inventory[[#This Row],[min_res]],ROUND(Granger_Inventory[[#This Row],[adj_res]]*Lookups!$I$45,-2))</f>
        <v>211600</v>
      </c>
      <c r="CB290">
        <f>Granger_Inventory[[#This Row],[final_det]]+Granger_Inventory[[#This Row],[final_res]]</f>
        <v>211600</v>
      </c>
      <c r="CC290">
        <f>Granger_Inventory[[#This Row],[final_land]]+Granger_Inventory[[#This Row],[final_imp]]+Granger_Inventory[[#This Row],[crop_value]]</f>
        <v>247800</v>
      </c>
      <c r="CE290" t="str">
        <f t="shared" si="4"/>
        <v>update valuation set market_land =36200, market_bldg=211600, market_total =247800, market_mdno =402, market_date ='9/10/2023' where link_id = (select link_id from parcel where parcel_year = '2024' and parcel_id = '21102111544');</v>
      </c>
    </row>
    <row r="291" spans="1:83" x14ac:dyDescent="0.25">
      <c r="A291">
        <v>21102111545</v>
      </c>
      <c r="B291">
        <v>0.16</v>
      </c>
      <c r="C291">
        <v>6788</v>
      </c>
      <c r="D291" t="s">
        <v>137</v>
      </c>
      <c r="E291" t="s">
        <v>54</v>
      </c>
      <c r="F291" t="s">
        <v>54</v>
      </c>
      <c r="G291">
        <v>3</v>
      </c>
      <c r="H291" t="s">
        <v>55</v>
      </c>
      <c r="I291">
        <v>67300</v>
      </c>
      <c r="J291">
        <v>26700</v>
      </c>
      <c r="K291">
        <v>0.16</v>
      </c>
      <c r="L29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91">
        <v>0</v>
      </c>
      <c r="N291">
        <v>0</v>
      </c>
      <c r="O291">
        <v>0</v>
      </c>
      <c r="P291">
        <v>47108.068500000001</v>
      </c>
      <c r="Q291">
        <v>122298</v>
      </c>
      <c r="R291">
        <f>(Granger_Inventory[[#This Row],[ln_acres]]*Granger_Inventory[[#This Row],[coeff]])+Granger_Inventory[[#This Row],[const]]</f>
        <v>35968.626873914327</v>
      </c>
      <c r="S291" t="s">
        <v>66</v>
      </c>
      <c r="T291">
        <v>1</v>
      </c>
      <c r="U291" t="s">
        <v>71</v>
      </c>
      <c r="V291" t="s">
        <v>77</v>
      </c>
      <c r="W291">
        <v>0</v>
      </c>
      <c r="X291">
        <v>0</v>
      </c>
      <c r="Y291">
        <v>53</v>
      </c>
      <c r="Z291">
        <v>93</v>
      </c>
      <c r="AA291">
        <v>100</v>
      </c>
      <c r="AB291">
        <v>1000</v>
      </c>
      <c r="AC291">
        <v>672</v>
      </c>
      <c r="AD291">
        <v>672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288</v>
      </c>
      <c r="AL291">
        <v>0</v>
      </c>
      <c r="AM291">
        <v>0</v>
      </c>
      <c r="AN291">
        <v>50</v>
      </c>
      <c r="AO291">
        <v>0</v>
      </c>
      <c r="AP291">
        <v>5</v>
      </c>
      <c r="AQ291">
        <v>0</v>
      </c>
      <c r="AR291">
        <v>0</v>
      </c>
      <c r="AS291" t="s">
        <v>59</v>
      </c>
      <c r="AT291">
        <v>1</v>
      </c>
      <c r="AU291" t="s">
        <v>60</v>
      </c>
      <c r="AV291" t="s">
        <v>61</v>
      </c>
      <c r="AW291">
        <v>0</v>
      </c>
      <c r="AX291">
        <v>2</v>
      </c>
      <c r="AY291">
        <v>0</v>
      </c>
      <c r="AZ291">
        <v>0</v>
      </c>
      <c r="BA291">
        <v>100</v>
      </c>
      <c r="BB291">
        <v>100</v>
      </c>
      <c r="BC291">
        <v>100</v>
      </c>
      <c r="BD291">
        <v>100</v>
      </c>
      <c r="BE291">
        <v>1</v>
      </c>
      <c r="BF291">
        <v>15000</v>
      </c>
      <c r="BG291">
        <v>1000</v>
      </c>
      <c r="BH291" s="8">
        <f>Granger_Inventory[[#This Row],[land_extract]]*Lookups!$B$3</f>
        <v>21427.618862498482</v>
      </c>
      <c r="BI291" s="8">
        <f>IF(Granger_Inventory[[#This Row],[bldg_style]]="",0,Lookups!$B$2)</f>
        <v>29703.559000000001</v>
      </c>
      <c r="BJ291" s="8">
        <f>_xlfn.IFNA(VLOOKUP(Granger_Inventory[[#This Row],[quality]],Lookups!$H$2:$J$14,3,FALSE),0)</f>
        <v>34195</v>
      </c>
      <c r="BK291" s="8">
        <f>_xlfn.IFNA(VLOOKUP(Granger_Inventory[[#This Row],[condition]],Lookups!$H$17:$J$24,3,FALSE),0)</f>
        <v>33736</v>
      </c>
      <c r="BL291" s="8">
        <f>Granger_Inventory[[#This Row],[Age]]*Lookups!$B$16</f>
        <v>-19281.792300000001</v>
      </c>
      <c r="BM291" s="8">
        <f>Granger_Inventory[[#This Row],[living_area]]*Lookups!$B$17</f>
        <v>45207.394847999996</v>
      </c>
      <c r="BN291" s="8">
        <f>(Granger_Inventory[[#This Row],[att_gar]]+Granger_Inventory[[#This Row],[blt_gar]])*Lookups!$B$18</f>
        <v>0</v>
      </c>
      <c r="BO291" s="8">
        <f>Granger_Inventory[[#This Row],[Patio]]*Lookups!$B$19</f>
        <v>0</v>
      </c>
      <c r="BP291" s="8">
        <f>SUM(Granger_Inventory[[#This Row],[Intercept]:[Patio_Value]])*Granger_Inventory[[#This Row],[res_pct]]</f>
        <v>123560.161548</v>
      </c>
      <c r="BQ291" s="8">
        <f>Granger_Inventory[[#This Row],[land_value]]</f>
        <v>21427.618862498482</v>
      </c>
      <c r="BR291" s="4">
        <f>_xlfn.IFNA(VLOOKUP(Granger_Inventory[[#This Row],[quality]],Lookups!$A$25:$C$35,3,FALSE),1)</f>
        <v>0.98258795897788032</v>
      </c>
      <c r="BS291" s="4">
        <f>_xlfn.IFNA(VLOOKUP(Granger_Inventory[[#This Row],[condition]],Lookups!$A$38:$C$45,3,FALSE),1)</f>
        <v>0.92294678898076177</v>
      </c>
      <c r="BT291" s="4">
        <f>IF(Granger_Inventory[[#This Row],[decade]]="",1,_xlfn.IFNA(VLOOKUP(Granger_Inventory[[#This Row],[decade]],Lookups!$G$28:$I$42,3,FALSE),1))</f>
        <v>0.879441629375324</v>
      </c>
      <c r="BU291" s="4">
        <f>_xlfn.IFNA(VLOOKUP(Granger_Inventory[[#This Row],[living_area_range]],Lookups!$A$48:$C$57,3,FALSE),1)</f>
        <v>0.81272404900450645</v>
      </c>
      <c r="BV291" s="4">
        <f>AVERAGE(Granger_Inventory[[#This Row],[qual_adj]:[living_range_adj]])</f>
        <v>0.89942510658461816</v>
      </c>
      <c r="BW291" s="8">
        <f>(Granger_Inventory[[#This Row],[sum_land]]-IF(Granger_Inventory[[#This Row],[no_utilities]]=1,12000,0))/IF(Granger_Inventory[[#This Row],[unbuildable]]=1,2,1)</f>
        <v>21427.618862498482</v>
      </c>
      <c r="BX291" s="8">
        <f>Granger_Inventory[[#This Row],[pre_res]]*Granger_Inventory[[#This Row],[overall_adj]]</f>
        <v>111133.11146992254</v>
      </c>
      <c r="BY29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91">
        <f>ROUND(Granger_Inventory[[#This Row],[detatched_value]]*Lookups!$I$45,-2)</f>
        <v>0</v>
      </c>
      <c r="CA291">
        <f>IF(ROUND(Granger_Inventory[[#This Row],[adj_res]]*Lookups!$I$45,-2)&lt;Granger_Inventory[[#This Row],[min_res]],Granger_Inventory[[#This Row],[min_res]],ROUND(Granger_Inventory[[#This Row],[adj_res]]*Lookups!$I$45,-2))</f>
        <v>105600</v>
      </c>
      <c r="CB291">
        <f>Granger_Inventory[[#This Row],[final_det]]+Granger_Inventory[[#This Row],[final_res]]</f>
        <v>105600</v>
      </c>
      <c r="CC291">
        <f>Granger_Inventory[[#This Row],[final_land]]+Granger_Inventory[[#This Row],[final_imp]]+Granger_Inventory[[#This Row],[crop_value]]</f>
        <v>126000</v>
      </c>
      <c r="CE291" t="str">
        <f t="shared" si="4"/>
        <v>update valuation set market_land =20400, market_bldg=105600, market_total =126000, market_mdno =402, market_date ='9/10/2023' where link_id = (select link_id from parcel where parcel_year = '2024' and parcel_id = '21102111545');</v>
      </c>
    </row>
    <row r="292" spans="1:83" x14ac:dyDescent="0.25">
      <c r="A292">
        <v>21102111547</v>
      </c>
      <c r="B292">
        <v>0.39</v>
      </c>
      <c r="C292">
        <v>16995</v>
      </c>
      <c r="D292" t="s">
        <v>137</v>
      </c>
      <c r="E292" t="s">
        <v>54</v>
      </c>
      <c r="F292" t="s">
        <v>54</v>
      </c>
      <c r="G292">
        <v>3</v>
      </c>
      <c r="H292" t="s">
        <v>55</v>
      </c>
      <c r="I292">
        <v>211800</v>
      </c>
      <c r="J292">
        <v>32000</v>
      </c>
      <c r="K292">
        <v>0.39</v>
      </c>
      <c r="L292">
        <f>IF(Granger_Inventory[[#This Row],[parcel_acres]]-Granger_Inventory[[#This Row],[non_valued_acres]] =0,0,LN(Granger_Inventory[[#This Row],[parcel_acres]]-Granger_Inventory[[#This Row],[non_valued_acres]]))</f>
        <v>-0.94160853985844495</v>
      </c>
      <c r="M292">
        <v>0</v>
      </c>
      <c r="N292">
        <v>0</v>
      </c>
      <c r="O292">
        <v>0</v>
      </c>
      <c r="P292">
        <v>47108.068500000001</v>
      </c>
      <c r="Q292">
        <v>122298</v>
      </c>
      <c r="R292">
        <f>(Granger_Inventory[[#This Row],[ln_acres]]*Granger_Inventory[[#This Row],[coeff]])+Granger_Inventory[[#This Row],[const]]</f>
        <v>77940.640404163394</v>
      </c>
      <c r="S292" t="s">
        <v>62</v>
      </c>
      <c r="T292">
        <v>2</v>
      </c>
      <c r="U292" t="s">
        <v>64</v>
      </c>
      <c r="V292" t="s">
        <v>77</v>
      </c>
      <c r="W292">
        <v>0</v>
      </c>
      <c r="X292">
        <v>0</v>
      </c>
      <c r="Y292">
        <v>49</v>
      </c>
      <c r="Z292">
        <v>68</v>
      </c>
      <c r="AA292">
        <v>70</v>
      </c>
      <c r="AB292">
        <v>2000</v>
      </c>
      <c r="AC292">
        <v>1848</v>
      </c>
      <c r="AD292">
        <v>1344</v>
      </c>
      <c r="AE292">
        <v>504</v>
      </c>
      <c r="AF292">
        <v>0</v>
      </c>
      <c r="AG292">
        <v>0</v>
      </c>
      <c r="AH292">
        <v>840</v>
      </c>
      <c r="AI292">
        <v>0</v>
      </c>
      <c r="AJ292">
        <v>0</v>
      </c>
      <c r="AK292">
        <v>0</v>
      </c>
      <c r="AL292">
        <v>0</v>
      </c>
      <c r="AM292">
        <v>516</v>
      </c>
      <c r="AN292">
        <v>0</v>
      </c>
      <c r="AO292">
        <v>392</v>
      </c>
      <c r="AP292">
        <v>8</v>
      </c>
      <c r="AQ292">
        <v>0</v>
      </c>
      <c r="AR292">
        <v>1</v>
      </c>
      <c r="AS292" t="s">
        <v>59</v>
      </c>
      <c r="AT292">
        <v>1</v>
      </c>
      <c r="AU292" t="s">
        <v>60</v>
      </c>
      <c r="AV292" t="s">
        <v>65</v>
      </c>
      <c r="AW292">
        <v>1</v>
      </c>
      <c r="AX292">
        <v>4</v>
      </c>
      <c r="AY292">
        <v>0</v>
      </c>
      <c r="AZ292">
        <v>0</v>
      </c>
      <c r="BA292">
        <v>100</v>
      </c>
      <c r="BB292">
        <v>100</v>
      </c>
      <c r="BC292">
        <v>100</v>
      </c>
      <c r="BD292">
        <v>100</v>
      </c>
      <c r="BE292">
        <v>1</v>
      </c>
      <c r="BF292">
        <v>15000</v>
      </c>
      <c r="BG292">
        <v>1000</v>
      </c>
      <c r="BH292" s="8">
        <f>Granger_Inventory[[#This Row],[land_extract]]*Lookups!$B$3</f>
        <v>46431.640060484584</v>
      </c>
      <c r="BI292" s="8">
        <f>IF(Granger_Inventory[[#This Row],[bldg_style]]="",0,Lookups!$B$2)</f>
        <v>29703.559000000001</v>
      </c>
      <c r="BJ292" s="8">
        <f>_xlfn.IFNA(VLOOKUP(Granger_Inventory[[#This Row],[quality]],Lookups!$H$2:$J$14,3,FALSE),0)</f>
        <v>36568</v>
      </c>
      <c r="BK292" s="8">
        <f>_xlfn.IFNA(VLOOKUP(Granger_Inventory[[#This Row],[condition]],Lookups!$H$17:$J$24,3,FALSE),0)</f>
        <v>33736</v>
      </c>
      <c r="BL292" s="8">
        <f>Granger_Inventory[[#This Row],[Age]]*Lookups!$B$16</f>
        <v>-14098.514799999999</v>
      </c>
      <c r="BM292" s="8">
        <f>Granger_Inventory[[#This Row],[living_area]]*Lookups!$B$17</f>
        <v>124320.335832</v>
      </c>
      <c r="BN292" s="8">
        <f>(Granger_Inventory[[#This Row],[att_gar]]+Granger_Inventory[[#This Row],[blt_gar]])*Lookups!$B$18</f>
        <v>0</v>
      </c>
      <c r="BO292" s="8">
        <f>Granger_Inventory[[#This Row],[Patio]]*Lookups!$B$19</f>
        <v>28026.589535999999</v>
      </c>
      <c r="BP292" s="8">
        <f>SUM(Granger_Inventory[[#This Row],[Intercept]:[Patio_Value]])*Granger_Inventory[[#This Row],[res_pct]]</f>
        <v>238255.969568</v>
      </c>
      <c r="BQ292" s="8">
        <f>Granger_Inventory[[#This Row],[land_value]]</f>
        <v>46431.640060484584</v>
      </c>
      <c r="BR292" s="4">
        <f>_xlfn.IFNA(VLOOKUP(Granger_Inventory[[#This Row],[quality]],Lookups!$A$25:$C$35,3,FALSE),1)</f>
        <v>0.99049976351917957</v>
      </c>
      <c r="BS292" s="4">
        <f>_xlfn.IFNA(VLOOKUP(Granger_Inventory[[#This Row],[condition]],Lookups!$A$38:$C$45,3,FALSE),1)</f>
        <v>0.92294678898076177</v>
      </c>
      <c r="BT292" s="4">
        <f>IF(Granger_Inventory[[#This Row],[decade]]="",1,_xlfn.IFNA(VLOOKUP(Granger_Inventory[[#This Row],[decade]],Lookups!$G$28:$I$42,3,FALSE),1))</f>
        <v>1.0270382440255921</v>
      </c>
      <c r="BU292" s="4">
        <f>_xlfn.IFNA(VLOOKUP(Granger_Inventory[[#This Row],[living_area_range]],Lookups!$A$48:$C$57,3,FALSE),1)</f>
        <v>0.97860968051050168</v>
      </c>
      <c r="BV292" s="4">
        <f>AVERAGE(Granger_Inventory[[#This Row],[qual_adj]:[living_range_adj]])</f>
        <v>0.97977361925900874</v>
      </c>
      <c r="BW292" s="8">
        <f>(Granger_Inventory[[#This Row],[sum_land]]-IF(Granger_Inventory[[#This Row],[no_utilities]]=1,12000,0))/IF(Granger_Inventory[[#This Row],[unbuildable]]=1,2,1)</f>
        <v>46431.640060484584</v>
      </c>
      <c r="BX292" s="8">
        <f>Granger_Inventory[[#This Row],[pre_res]]*Granger_Inventory[[#This Row],[overall_adj]]</f>
        <v>233436.9136137036</v>
      </c>
      <c r="BY292">
        <f>IF(ROUND(Granger_Inventory[[#This Row],[adj_land]]*Lookups!$I$45,-2)&lt;Granger_Inventory[[#This Row],[min_land]],Granger_Inventory[[#This Row],[min_land]],ROUND(Granger_Inventory[[#This Row],[adj_land]]*Lookups!$I$45,-2))</f>
        <v>44100</v>
      </c>
      <c r="BZ292">
        <f>ROUND(Granger_Inventory[[#This Row],[detatched_value]]*Lookups!$I$45,-2)</f>
        <v>0</v>
      </c>
      <c r="CA292">
        <f>IF(ROUND(Granger_Inventory[[#This Row],[adj_res]]*Lookups!$I$45,-2)&lt;Granger_Inventory[[#This Row],[min_res]],Granger_Inventory[[#This Row],[min_res]],ROUND(Granger_Inventory[[#This Row],[adj_res]]*Lookups!$I$45,-2))</f>
        <v>221800</v>
      </c>
      <c r="CB292">
        <f>Granger_Inventory[[#This Row],[final_det]]+Granger_Inventory[[#This Row],[final_res]]</f>
        <v>221800</v>
      </c>
      <c r="CC292">
        <f>Granger_Inventory[[#This Row],[final_land]]+Granger_Inventory[[#This Row],[final_imp]]+Granger_Inventory[[#This Row],[crop_value]]</f>
        <v>265900</v>
      </c>
      <c r="CE292" t="str">
        <f t="shared" si="4"/>
        <v>update valuation set market_land =44100, market_bldg=221800, market_total =265900, market_mdno =402, market_date ='9/10/2023' where link_id = (select link_id from parcel where parcel_year = '2024' and parcel_id = '21102111547');</v>
      </c>
    </row>
    <row r="293" spans="1:83" x14ac:dyDescent="0.25">
      <c r="A293">
        <v>21102111548</v>
      </c>
      <c r="B293">
        <v>0.24</v>
      </c>
      <c r="C293">
        <v>10302</v>
      </c>
      <c r="D293" t="s">
        <v>137</v>
      </c>
      <c r="E293" t="s">
        <v>54</v>
      </c>
      <c r="F293" t="s">
        <v>54</v>
      </c>
      <c r="G293">
        <v>3</v>
      </c>
      <c r="H293" t="s">
        <v>55</v>
      </c>
      <c r="I293">
        <v>135000</v>
      </c>
      <c r="J293">
        <v>29100</v>
      </c>
      <c r="K293">
        <v>0.24</v>
      </c>
      <c r="L293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293">
        <v>0</v>
      </c>
      <c r="N293">
        <v>0</v>
      </c>
      <c r="O293">
        <v>0</v>
      </c>
      <c r="P293">
        <v>47108.068500000001</v>
      </c>
      <c r="Q293">
        <v>122298</v>
      </c>
      <c r="R293">
        <f>(Granger_Inventory[[#This Row],[ln_acres]]*Granger_Inventory[[#This Row],[coeff]])+Granger_Inventory[[#This Row],[const]]</f>
        <v>55069.304961033646</v>
      </c>
      <c r="S293" t="s">
        <v>69</v>
      </c>
      <c r="T293">
        <v>1</v>
      </c>
      <c r="U293" t="s">
        <v>71</v>
      </c>
      <c r="V293" t="s">
        <v>72</v>
      </c>
      <c r="W293">
        <v>0</v>
      </c>
      <c r="X293">
        <v>0</v>
      </c>
      <c r="Y293">
        <v>53</v>
      </c>
      <c r="Z293">
        <v>93</v>
      </c>
      <c r="AA293">
        <v>100</v>
      </c>
      <c r="AB293">
        <v>1000</v>
      </c>
      <c r="AC293">
        <v>960</v>
      </c>
      <c r="AD293">
        <v>960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444</v>
      </c>
      <c r="AL293">
        <v>0</v>
      </c>
      <c r="AM293">
        <v>0</v>
      </c>
      <c r="AN293">
        <v>0</v>
      </c>
      <c r="AO293">
        <v>0</v>
      </c>
      <c r="AP293">
        <v>5</v>
      </c>
      <c r="AQ293">
        <v>0</v>
      </c>
      <c r="AR293">
        <v>0</v>
      </c>
      <c r="AS293" t="s">
        <v>59</v>
      </c>
      <c r="AT293">
        <v>1</v>
      </c>
      <c r="AU293" t="s">
        <v>60</v>
      </c>
      <c r="AV293" t="s">
        <v>65</v>
      </c>
      <c r="AW293">
        <v>0</v>
      </c>
      <c r="AX293">
        <v>2</v>
      </c>
      <c r="AY293">
        <v>0</v>
      </c>
      <c r="AZ293">
        <v>6900</v>
      </c>
      <c r="BA293">
        <v>100</v>
      </c>
      <c r="BB293">
        <v>100</v>
      </c>
      <c r="BC293">
        <v>100</v>
      </c>
      <c r="BD293">
        <v>100</v>
      </c>
      <c r="BE293">
        <v>1</v>
      </c>
      <c r="BF293">
        <v>15000</v>
      </c>
      <c r="BG293">
        <v>1000</v>
      </c>
      <c r="BH293" s="8">
        <f>Granger_Inventory[[#This Row],[land_extract]]*Lookups!$B$3</f>
        <v>32806.481099880541</v>
      </c>
      <c r="BI293" s="8">
        <f>IF(Granger_Inventory[[#This Row],[bldg_style]]="",0,Lookups!$B$2)</f>
        <v>29703.559000000001</v>
      </c>
      <c r="BJ293" s="8">
        <f>_xlfn.IFNA(VLOOKUP(Granger_Inventory[[#This Row],[quality]],Lookups!$H$2:$J$14,3,FALSE),0)</f>
        <v>34195</v>
      </c>
      <c r="BK293" s="8">
        <f>_xlfn.IFNA(VLOOKUP(Granger_Inventory[[#This Row],[condition]],Lookups!$H$17:$J$24,3,FALSE),0)</f>
        <v>94106</v>
      </c>
      <c r="BL293" s="8">
        <f>Granger_Inventory[[#This Row],[Age]]*Lookups!$B$16</f>
        <v>-19281.792300000001</v>
      </c>
      <c r="BM293" s="8">
        <f>Granger_Inventory[[#This Row],[living_area]]*Lookups!$B$17</f>
        <v>64581.992639999997</v>
      </c>
      <c r="BN293" s="8">
        <f>(Granger_Inventory[[#This Row],[att_gar]]+Granger_Inventory[[#This Row],[blt_gar]])*Lookups!$B$18</f>
        <v>0</v>
      </c>
      <c r="BO293" s="8">
        <f>Granger_Inventory[[#This Row],[Patio]]*Lookups!$B$19</f>
        <v>0</v>
      </c>
      <c r="BP293" s="8">
        <f>SUM(Granger_Inventory[[#This Row],[Intercept]:[Patio_Value]])*Granger_Inventory[[#This Row],[res_pct]]</f>
        <v>203304.75933999999</v>
      </c>
      <c r="BQ293" s="8">
        <f>Granger_Inventory[[#This Row],[land_value]]</f>
        <v>32806.481099880541</v>
      </c>
      <c r="BR293" s="4">
        <f>_xlfn.IFNA(VLOOKUP(Granger_Inventory[[#This Row],[quality]],Lookups!$A$25:$C$35,3,FALSE),1)</f>
        <v>0.98258795897788032</v>
      </c>
      <c r="BS293" s="4">
        <f>_xlfn.IFNA(VLOOKUP(Granger_Inventory[[#This Row],[condition]],Lookups!$A$38:$C$45,3,FALSE),1)</f>
        <v>0.98658583151544277</v>
      </c>
      <c r="BT293" s="4">
        <f>IF(Granger_Inventory[[#This Row],[decade]]="",1,_xlfn.IFNA(VLOOKUP(Granger_Inventory[[#This Row],[decade]],Lookups!$G$28:$I$42,3,FALSE),1))</f>
        <v>0.879441629375324</v>
      </c>
      <c r="BU293" s="4">
        <f>_xlfn.IFNA(VLOOKUP(Granger_Inventory[[#This Row],[living_area_range]],Lookups!$A$48:$C$57,3,FALSE),1)</f>
        <v>0.81272404900450645</v>
      </c>
      <c r="BV293" s="4">
        <f>AVERAGE(Granger_Inventory[[#This Row],[qual_adj]:[living_range_adj]])</f>
        <v>0.91533486721828838</v>
      </c>
      <c r="BW293" s="8">
        <f>(Granger_Inventory[[#This Row],[sum_land]]-IF(Granger_Inventory[[#This Row],[no_utilities]]=1,12000,0))/IF(Granger_Inventory[[#This Row],[unbuildable]]=1,2,1)</f>
        <v>32806.481099880541</v>
      </c>
      <c r="BX293" s="8">
        <f>Granger_Inventory[[#This Row],[pre_res]]*Granger_Inventory[[#This Row],[overall_adj]]</f>
        <v>186091.93489532496</v>
      </c>
      <c r="BY293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293">
        <f>ROUND(Granger_Inventory[[#This Row],[detatched_value]]*Lookups!$I$45,-2)</f>
        <v>6600</v>
      </c>
      <c r="CA293">
        <f>IF(ROUND(Granger_Inventory[[#This Row],[adj_res]]*Lookups!$I$45,-2)&lt;Granger_Inventory[[#This Row],[min_res]],Granger_Inventory[[#This Row],[min_res]],ROUND(Granger_Inventory[[#This Row],[adj_res]]*Lookups!$I$45,-2))</f>
        <v>176800</v>
      </c>
      <c r="CB293">
        <f>Granger_Inventory[[#This Row],[final_det]]+Granger_Inventory[[#This Row],[final_res]]</f>
        <v>183400</v>
      </c>
      <c r="CC293">
        <f>Granger_Inventory[[#This Row],[final_land]]+Granger_Inventory[[#This Row],[final_imp]]+Granger_Inventory[[#This Row],[crop_value]]</f>
        <v>214600</v>
      </c>
      <c r="CE293" t="str">
        <f t="shared" si="4"/>
        <v>update valuation set market_land =31200, market_bldg=183400, market_total =214600, market_mdno =402, market_date ='9/10/2023' where link_id = (select link_id from parcel where parcel_year = '2024' and parcel_id = '21102111548');</v>
      </c>
    </row>
    <row r="294" spans="1:83" x14ac:dyDescent="0.25">
      <c r="A294">
        <v>21102111550</v>
      </c>
      <c r="B294">
        <v>0.15</v>
      </c>
      <c r="C294">
        <v>6308</v>
      </c>
      <c r="D294" t="s">
        <v>137</v>
      </c>
      <c r="E294" t="s">
        <v>54</v>
      </c>
      <c r="F294" t="s">
        <v>54</v>
      </c>
      <c r="G294">
        <v>3</v>
      </c>
      <c r="H294" t="s">
        <v>55</v>
      </c>
      <c r="I294">
        <v>218600</v>
      </c>
      <c r="J294">
        <v>25900</v>
      </c>
      <c r="K294">
        <v>0.15</v>
      </c>
      <c r="L294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294">
        <v>0</v>
      </c>
      <c r="N294">
        <v>0</v>
      </c>
      <c r="O294">
        <v>0</v>
      </c>
      <c r="P294">
        <v>47108.068500000001</v>
      </c>
      <c r="Q294">
        <v>122298</v>
      </c>
      <c r="R294">
        <f>(Granger_Inventory[[#This Row],[ln_acres]]*Granger_Inventory[[#This Row],[coeff]])+Granger_Inventory[[#This Row],[const]]</f>
        <v>32928.341799276939</v>
      </c>
      <c r="S294" t="s">
        <v>56</v>
      </c>
      <c r="T294">
        <v>1</v>
      </c>
      <c r="U294" t="s">
        <v>64</v>
      </c>
      <c r="V294" t="s">
        <v>72</v>
      </c>
      <c r="W294">
        <v>0</v>
      </c>
      <c r="X294">
        <v>0</v>
      </c>
      <c r="Y294">
        <v>20</v>
      </c>
      <c r="Z294">
        <v>20</v>
      </c>
      <c r="AA294">
        <v>20</v>
      </c>
      <c r="AB294">
        <v>2000</v>
      </c>
      <c r="AC294">
        <v>1624</v>
      </c>
      <c r="AD294">
        <v>1624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192</v>
      </c>
      <c r="AO294">
        <v>0</v>
      </c>
      <c r="AP294">
        <v>8</v>
      </c>
      <c r="AQ294">
        <v>0</v>
      </c>
      <c r="AR294">
        <v>0</v>
      </c>
      <c r="AS294" t="s">
        <v>59</v>
      </c>
      <c r="AT294">
        <v>1</v>
      </c>
      <c r="AU294" t="s">
        <v>60</v>
      </c>
      <c r="AV294" t="s">
        <v>65</v>
      </c>
      <c r="AW294">
        <v>1</v>
      </c>
      <c r="AX294">
        <v>3</v>
      </c>
      <c r="AY294">
        <v>0</v>
      </c>
      <c r="AZ294">
        <v>0</v>
      </c>
      <c r="BA294">
        <v>100</v>
      </c>
      <c r="BB294">
        <v>100</v>
      </c>
      <c r="BC294">
        <v>100</v>
      </c>
      <c r="BD294">
        <v>100</v>
      </c>
      <c r="BE294">
        <v>1</v>
      </c>
      <c r="BF294">
        <v>15000</v>
      </c>
      <c r="BG294">
        <v>1000</v>
      </c>
      <c r="BH294" s="8">
        <f>Granger_Inventory[[#This Row],[land_extract]]*Lookups!$B$3</f>
        <v>19616.42740275669</v>
      </c>
      <c r="BI294" s="8">
        <f>IF(Granger_Inventory[[#This Row],[bldg_style]]="",0,Lookups!$B$2)</f>
        <v>29703.559000000001</v>
      </c>
      <c r="BJ294" s="8">
        <f>_xlfn.IFNA(VLOOKUP(Granger_Inventory[[#This Row],[quality]],Lookups!$H$2:$J$14,3,FALSE),0)</f>
        <v>36568</v>
      </c>
      <c r="BK294" s="8">
        <f>_xlfn.IFNA(VLOOKUP(Granger_Inventory[[#This Row],[condition]],Lookups!$H$17:$J$24,3,FALSE),0)</f>
        <v>94106</v>
      </c>
      <c r="BL294" s="8">
        <f>Granger_Inventory[[#This Row],[Age]]*Lookups!$B$16</f>
        <v>-4146.6219999999994</v>
      </c>
      <c r="BM294" s="8">
        <f>Granger_Inventory[[#This Row],[living_area]]*Lookups!$B$17</f>
        <v>109251.204216</v>
      </c>
      <c r="BN294" s="8">
        <f>(Granger_Inventory[[#This Row],[att_gar]]+Granger_Inventory[[#This Row],[blt_gar]])*Lookups!$B$18</f>
        <v>0</v>
      </c>
      <c r="BO294" s="8">
        <f>Granger_Inventory[[#This Row],[Patio]]*Lookups!$B$19</f>
        <v>0</v>
      </c>
      <c r="BP294" s="8">
        <f>SUM(Granger_Inventory[[#This Row],[Intercept]:[Patio_Value]])*Granger_Inventory[[#This Row],[res_pct]]</f>
        <v>265482.14121600002</v>
      </c>
      <c r="BQ294" s="8">
        <f>Granger_Inventory[[#This Row],[land_value]]</f>
        <v>19616.42740275669</v>
      </c>
      <c r="BR294" s="4">
        <f>_xlfn.IFNA(VLOOKUP(Granger_Inventory[[#This Row],[quality]],Lookups!$A$25:$C$35,3,FALSE),1)</f>
        <v>0.99049976351917957</v>
      </c>
      <c r="BS294" s="4">
        <f>_xlfn.IFNA(VLOOKUP(Granger_Inventory[[#This Row],[condition]],Lookups!$A$38:$C$45,3,FALSE),1)</f>
        <v>0.98658583151544277</v>
      </c>
      <c r="BT294" s="4">
        <f>IF(Granger_Inventory[[#This Row],[decade]]="",1,_xlfn.IFNA(VLOOKUP(Granger_Inventory[[#This Row],[decade]],Lookups!$G$28:$I$42,3,FALSE),1))</f>
        <v>1.0159161060824455</v>
      </c>
      <c r="BU294" s="4">
        <f>_xlfn.IFNA(VLOOKUP(Granger_Inventory[[#This Row],[living_area_range]],Lookups!$A$48:$C$57,3,FALSE),1)</f>
        <v>0.97860968051050168</v>
      </c>
      <c r="BV294" s="4">
        <f>AVERAGE(Granger_Inventory[[#This Row],[qual_adj]:[living_range_adj]])</f>
        <v>0.99290284540689244</v>
      </c>
      <c r="BW294" s="8">
        <f>(Granger_Inventory[[#This Row],[sum_land]]-IF(Granger_Inventory[[#This Row],[no_utilities]]=1,12000,0))/IF(Granger_Inventory[[#This Row],[unbuildable]]=1,2,1)</f>
        <v>19616.42740275669</v>
      </c>
      <c r="BX294" s="8">
        <f>Granger_Inventory[[#This Row],[pre_res]]*Granger_Inventory[[#This Row],[overall_adj]]</f>
        <v>263597.97341808083</v>
      </c>
      <c r="BY294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294">
        <f>ROUND(Granger_Inventory[[#This Row],[detatched_value]]*Lookups!$I$45,-2)</f>
        <v>0</v>
      </c>
      <c r="CA294">
        <f>IF(ROUND(Granger_Inventory[[#This Row],[adj_res]]*Lookups!$I$45,-2)&lt;Granger_Inventory[[#This Row],[min_res]],Granger_Inventory[[#This Row],[min_res]],ROUND(Granger_Inventory[[#This Row],[adj_res]]*Lookups!$I$45,-2))</f>
        <v>250400</v>
      </c>
      <c r="CB294">
        <f>Granger_Inventory[[#This Row],[final_det]]+Granger_Inventory[[#This Row],[final_res]]</f>
        <v>250400</v>
      </c>
      <c r="CC294">
        <f>Granger_Inventory[[#This Row],[final_land]]+Granger_Inventory[[#This Row],[final_imp]]+Granger_Inventory[[#This Row],[crop_value]]</f>
        <v>269000</v>
      </c>
      <c r="CE294" t="str">
        <f t="shared" si="4"/>
        <v>update valuation set market_land =18600, market_bldg=250400, market_total =269000, market_mdno =402, market_date ='9/10/2023' where link_id = (select link_id from parcel where parcel_year = '2024' and parcel_id = '21102111550');</v>
      </c>
    </row>
    <row r="295" spans="1:83" x14ac:dyDescent="0.25">
      <c r="A295">
        <v>21102111551</v>
      </c>
      <c r="B295">
        <v>0.4</v>
      </c>
      <c r="C295">
        <v>17206</v>
      </c>
      <c r="D295" t="s">
        <v>137</v>
      </c>
      <c r="E295" t="s">
        <v>54</v>
      </c>
      <c r="F295" t="s">
        <v>54</v>
      </c>
      <c r="G295">
        <v>3</v>
      </c>
      <c r="H295" t="s">
        <v>55</v>
      </c>
      <c r="I295">
        <v>229700</v>
      </c>
      <c r="J295">
        <v>32100</v>
      </c>
      <c r="K295">
        <v>0.4</v>
      </c>
      <c r="L295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295">
        <v>0</v>
      </c>
      <c r="N295">
        <v>0</v>
      </c>
      <c r="O295">
        <v>0</v>
      </c>
      <c r="P295">
        <v>47108.068500000001</v>
      </c>
      <c r="Q295">
        <v>122298</v>
      </c>
      <c r="R295">
        <f>(Granger_Inventory[[#This Row],[ln_acres]]*Granger_Inventory[[#This Row],[coeff]])+Granger_Inventory[[#This Row],[const]]</f>
        <v>79133.313436957164</v>
      </c>
      <c r="S295" t="s">
        <v>69</v>
      </c>
      <c r="T295">
        <v>1</v>
      </c>
      <c r="U295" t="s">
        <v>71</v>
      </c>
      <c r="V295" t="s">
        <v>72</v>
      </c>
      <c r="W295">
        <v>0</v>
      </c>
      <c r="X295">
        <v>0</v>
      </c>
      <c r="Y295">
        <v>52</v>
      </c>
      <c r="Z295">
        <v>88</v>
      </c>
      <c r="AA295">
        <v>90</v>
      </c>
      <c r="AB295">
        <v>1500</v>
      </c>
      <c r="AC295">
        <v>1030</v>
      </c>
      <c r="AD295">
        <v>830</v>
      </c>
      <c r="AE295">
        <v>0</v>
      </c>
      <c r="AF295">
        <v>0</v>
      </c>
      <c r="AG295">
        <v>200</v>
      </c>
      <c r="AH295">
        <v>550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8</v>
      </c>
      <c r="AQ295">
        <v>0</v>
      </c>
      <c r="AR295">
        <v>0</v>
      </c>
      <c r="AS295" t="s">
        <v>59</v>
      </c>
      <c r="AT295">
        <v>1</v>
      </c>
      <c r="AU295" t="s">
        <v>76</v>
      </c>
      <c r="AV295" t="s">
        <v>61</v>
      </c>
      <c r="AW295">
        <v>0</v>
      </c>
      <c r="AX295">
        <v>3</v>
      </c>
      <c r="AY295">
        <v>0</v>
      </c>
      <c r="AZ295">
        <v>64400</v>
      </c>
      <c r="BA295">
        <v>100</v>
      </c>
      <c r="BB295">
        <v>100</v>
      </c>
      <c r="BC295">
        <v>100</v>
      </c>
      <c r="BD295">
        <v>100</v>
      </c>
      <c r="BE295">
        <v>1</v>
      </c>
      <c r="BF295">
        <v>15000</v>
      </c>
      <c r="BG295">
        <v>1000</v>
      </c>
      <c r="BH295" s="8">
        <f>Granger_Inventory[[#This Row],[land_extract]]*Lookups!$B$3</f>
        <v>47142.152120449238</v>
      </c>
      <c r="BI295" s="8">
        <f>IF(Granger_Inventory[[#This Row],[bldg_style]]="",0,Lookups!$B$2)</f>
        <v>29703.559000000001</v>
      </c>
      <c r="BJ295" s="8">
        <f>_xlfn.IFNA(VLOOKUP(Granger_Inventory[[#This Row],[quality]],Lookups!$H$2:$J$14,3,FALSE),0)</f>
        <v>34195</v>
      </c>
      <c r="BK295" s="8">
        <f>_xlfn.IFNA(VLOOKUP(Granger_Inventory[[#This Row],[condition]],Lookups!$H$17:$J$24,3,FALSE),0)</f>
        <v>94106</v>
      </c>
      <c r="BL295" s="8">
        <f>Granger_Inventory[[#This Row],[Age]]*Lookups!$B$16</f>
        <v>-18245.1368</v>
      </c>
      <c r="BM295" s="8">
        <f>Granger_Inventory[[#This Row],[living_area]]*Lookups!$B$17</f>
        <v>69291.096269999995</v>
      </c>
      <c r="BN295" s="8">
        <f>(Granger_Inventory[[#This Row],[att_gar]]+Granger_Inventory[[#This Row],[blt_gar]])*Lookups!$B$18</f>
        <v>0</v>
      </c>
      <c r="BO295" s="8">
        <f>Granger_Inventory[[#This Row],[Patio]]*Lookups!$B$19</f>
        <v>0</v>
      </c>
      <c r="BP295" s="8">
        <f>SUM(Granger_Inventory[[#This Row],[Intercept]:[Patio_Value]])*Granger_Inventory[[#This Row],[res_pct]]</f>
        <v>209050.51847000001</v>
      </c>
      <c r="BQ295" s="8">
        <f>Granger_Inventory[[#This Row],[land_value]]</f>
        <v>47142.152120449238</v>
      </c>
      <c r="BR295" s="4">
        <f>_xlfn.IFNA(VLOOKUP(Granger_Inventory[[#This Row],[quality]],Lookups!$A$25:$C$35,3,FALSE),1)</f>
        <v>0.98258795897788032</v>
      </c>
      <c r="BS295" s="4">
        <f>_xlfn.IFNA(VLOOKUP(Granger_Inventory[[#This Row],[condition]],Lookups!$A$38:$C$45,3,FALSE),1)</f>
        <v>0.98658583151544277</v>
      </c>
      <c r="BT295" s="4">
        <f>IF(Granger_Inventory[[#This Row],[decade]]="",1,_xlfn.IFNA(VLOOKUP(Granger_Inventory[[#This Row],[decade]],Lookups!$G$28:$I$42,3,FALSE),1))</f>
        <v>0.95234610137492615</v>
      </c>
      <c r="BU295" s="4">
        <f>_xlfn.IFNA(VLOOKUP(Granger_Inventory[[#This Row],[living_area_range]],Lookups!$A$48:$C$57,3,FALSE),1)</f>
        <v>0.97960506760539345</v>
      </c>
      <c r="BV295" s="4">
        <f>AVERAGE(Granger_Inventory[[#This Row],[qual_adj]:[living_range_adj]])</f>
        <v>0.97528123986841075</v>
      </c>
      <c r="BW295" s="8">
        <f>(Granger_Inventory[[#This Row],[sum_land]]-IF(Granger_Inventory[[#This Row],[no_utilities]]=1,12000,0))/IF(Granger_Inventory[[#This Row],[unbuildable]]=1,2,1)</f>
        <v>47142.152120449238</v>
      </c>
      <c r="BX295" s="8">
        <f>Granger_Inventory[[#This Row],[pre_res]]*Granger_Inventory[[#This Row],[overall_adj]]</f>
        <v>203883.04884855571</v>
      </c>
      <c r="BY295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295">
        <f>ROUND(Granger_Inventory[[#This Row],[detatched_value]]*Lookups!$I$45,-2)</f>
        <v>61200</v>
      </c>
      <c r="CA295">
        <f>IF(ROUND(Granger_Inventory[[#This Row],[adj_res]]*Lookups!$I$45,-2)&lt;Granger_Inventory[[#This Row],[min_res]],Granger_Inventory[[#This Row],[min_res]],ROUND(Granger_Inventory[[#This Row],[adj_res]]*Lookups!$I$45,-2))</f>
        <v>193700</v>
      </c>
      <c r="CB295">
        <f>Granger_Inventory[[#This Row],[final_det]]+Granger_Inventory[[#This Row],[final_res]]</f>
        <v>254900</v>
      </c>
      <c r="CC295">
        <f>Granger_Inventory[[#This Row],[final_land]]+Granger_Inventory[[#This Row],[final_imp]]+Granger_Inventory[[#This Row],[crop_value]]</f>
        <v>299700</v>
      </c>
      <c r="CE295" t="str">
        <f t="shared" si="4"/>
        <v>update valuation set market_land =44800, market_bldg=254900, market_total =299700, market_mdno =402, market_date ='9/10/2023' where link_id = (select link_id from parcel where parcel_year = '2024' and parcel_id = '21102111551');</v>
      </c>
    </row>
    <row r="296" spans="1:83" x14ac:dyDescent="0.25">
      <c r="A296">
        <v>21102111552</v>
      </c>
      <c r="B296">
        <v>0.2</v>
      </c>
      <c r="C296">
        <v>8603</v>
      </c>
      <c r="D296" t="s">
        <v>137</v>
      </c>
      <c r="E296" t="s">
        <v>54</v>
      </c>
      <c r="F296" t="s">
        <v>54</v>
      </c>
      <c r="G296">
        <v>3</v>
      </c>
      <c r="H296" t="s">
        <v>55</v>
      </c>
      <c r="I296">
        <v>286400</v>
      </c>
      <c r="J296">
        <v>28000</v>
      </c>
      <c r="K296">
        <v>0.2</v>
      </c>
      <c r="L296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296">
        <v>0</v>
      </c>
      <c r="N296">
        <v>0</v>
      </c>
      <c r="O296">
        <v>0</v>
      </c>
      <c r="P296">
        <v>47108.068500000001</v>
      </c>
      <c r="Q296">
        <v>122298</v>
      </c>
      <c r="R296">
        <f>(Granger_Inventory[[#This Row],[ln_acres]]*Granger_Inventory[[#This Row],[coeff]])+Granger_Inventory[[#This Row],[const]]</f>
        <v>46480.488574557399</v>
      </c>
      <c r="S296" t="s">
        <v>69</v>
      </c>
      <c r="T296">
        <v>1</v>
      </c>
      <c r="U296" t="s">
        <v>64</v>
      </c>
      <c r="V296" t="s">
        <v>70</v>
      </c>
      <c r="W296">
        <v>0</v>
      </c>
      <c r="X296">
        <v>0</v>
      </c>
      <c r="Y296">
        <v>36</v>
      </c>
      <c r="Z296">
        <v>98</v>
      </c>
      <c r="AA296">
        <v>100</v>
      </c>
      <c r="AB296">
        <v>2000</v>
      </c>
      <c r="AC296">
        <v>1826</v>
      </c>
      <c r="AD296">
        <v>1826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8</v>
      </c>
      <c r="AQ296">
        <v>0</v>
      </c>
      <c r="AR296">
        <v>0</v>
      </c>
      <c r="AS296" t="s">
        <v>59</v>
      </c>
      <c r="AT296">
        <v>1</v>
      </c>
      <c r="AU296" t="s">
        <v>63</v>
      </c>
      <c r="AV296" t="s">
        <v>65</v>
      </c>
      <c r="AW296">
        <v>1</v>
      </c>
      <c r="AX296">
        <v>3</v>
      </c>
      <c r="AY296">
        <v>0</v>
      </c>
      <c r="AZ296">
        <v>28500</v>
      </c>
      <c r="BA296">
        <v>100</v>
      </c>
      <c r="BB296">
        <v>100</v>
      </c>
      <c r="BC296">
        <v>100</v>
      </c>
      <c r="BD296">
        <v>100</v>
      </c>
      <c r="BE296">
        <v>1</v>
      </c>
      <c r="BF296">
        <v>15000</v>
      </c>
      <c r="BG296">
        <v>1000</v>
      </c>
      <c r="BH296" s="8">
        <f>Granger_Inventory[[#This Row],[land_extract]]*Lookups!$B$3</f>
        <v>27689.858642911939</v>
      </c>
      <c r="BI296" s="8">
        <f>IF(Granger_Inventory[[#This Row],[bldg_style]]="",0,Lookups!$B$2)</f>
        <v>29703.559000000001</v>
      </c>
      <c r="BJ296" s="8">
        <f>_xlfn.IFNA(VLOOKUP(Granger_Inventory[[#This Row],[quality]],Lookups!$H$2:$J$14,3,FALSE),0)</f>
        <v>36568</v>
      </c>
      <c r="BK296" s="8">
        <f>_xlfn.IFNA(VLOOKUP(Granger_Inventory[[#This Row],[condition]],Lookups!$H$17:$J$24,3,FALSE),0)</f>
        <v>80695</v>
      </c>
      <c r="BL296" s="8">
        <f>Granger_Inventory[[#This Row],[Age]]*Lookups!$B$16</f>
        <v>-20318.447799999998</v>
      </c>
      <c r="BM296" s="8">
        <f>Granger_Inventory[[#This Row],[living_area]]*Lookups!$B$17</f>
        <v>122840.331834</v>
      </c>
      <c r="BN296" s="8">
        <f>(Granger_Inventory[[#This Row],[att_gar]]+Granger_Inventory[[#This Row],[blt_gar]])*Lookups!$B$18</f>
        <v>0</v>
      </c>
      <c r="BO296" s="8">
        <f>Granger_Inventory[[#This Row],[Patio]]*Lookups!$B$19</f>
        <v>0</v>
      </c>
      <c r="BP296" s="8">
        <f>SUM(Granger_Inventory[[#This Row],[Intercept]:[Patio_Value]])*Granger_Inventory[[#This Row],[res_pct]]</f>
        <v>249488.443034</v>
      </c>
      <c r="BQ296" s="8">
        <f>Granger_Inventory[[#This Row],[land_value]]</f>
        <v>27689.858642911939</v>
      </c>
      <c r="BR296" s="4">
        <f>_xlfn.IFNA(VLOOKUP(Granger_Inventory[[#This Row],[quality]],Lookups!$A$25:$C$35,3,FALSE),1)</f>
        <v>0.99049976351917957</v>
      </c>
      <c r="BS296" s="4">
        <f>_xlfn.IFNA(VLOOKUP(Granger_Inventory[[#This Row],[condition]],Lookups!$A$38:$C$45,3,FALSE),1)</f>
        <v>0.99484195314749324</v>
      </c>
      <c r="BT296" s="4">
        <f>IF(Granger_Inventory[[#This Row],[decade]]="",1,_xlfn.IFNA(VLOOKUP(Granger_Inventory[[#This Row],[decade]],Lookups!$G$28:$I$42,3,FALSE),1))</f>
        <v>0.879441629375324</v>
      </c>
      <c r="BU296" s="4">
        <f>_xlfn.IFNA(VLOOKUP(Granger_Inventory[[#This Row],[living_area_range]],Lookups!$A$48:$C$57,3,FALSE),1)</f>
        <v>0.97860968051050168</v>
      </c>
      <c r="BV296" s="4">
        <f>AVERAGE(Granger_Inventory[[#This Row],[qual_adj]:[living_range_adj]])</f>
        <v>0.96084825663812468</v>
      </c>
      <c r="BW296" s="8">
        <f>(Granger_Inventory[[#This Row],[sum_land]]-IF(Granger_Inventory[[#This Row],[no_utilities]]=1,12000,0))/IF(Granger_Inventory[[#This Row],[unbuildable]]=1,2,1)</f>
        <v>27689.858642911939</v>
      </c>
      <c r="BX296" s="8">
        <f>Granger_Inventory[[#This Row],[pre_res]]*Granger_Inventory[[#This Row],[overall_adj]]</f>
        <v>239720.53554057897</v>
      </c>
      <c r="BY296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296">
        <f>ROUND(Granger_Inventory[[#This Row],[detatched_value]]*Lookups!$I$45,-2)</f>
        <v>27100</v>
      </c>
      <c r="CA296">
        <f>IF(ROUND(Granger_Inventory[[#This Row],[adj_res]]*Lookups!$I$45,-2)&lt;Granger_Inventory[[#This Row],[min_res]],Granger_Inventory[[#This Row],[min_res]],ROUND(Granger_Inventory[[#This Row],[adj_res]]*Lookups!$I$45,-2))</f>
        <v>227700</v>
      </c>
      <c r="CB296">
        <f>Granger_Inventory[[#This Row],[final_det]]+Granger_Inventory[[#This Row],[final_res]]</f>
        <v>254800</v>
      </c>
      <c r="CC296">
        <f>Granger_Inventory[[#This Row],[final_land]]+Granger_Inventory[[#This Row],[final_imp]]+Granger_Inventory[[#This Row],[crop_value]]</f>
        <v>281100</v>
      </c>
      <c r="CE296" t="str">
        <f t="shared" si="4"/>
        <v>update valuation set market_land =26300, market_bldg=254800, market_total =281100, market_mdno =402, market_date ='9/10/2023' where link_id = (select link_id from parcel where parcel_year = '2024' and parcel_id = '21102111552');</v>
      </c>
    </row>
    <row r="297" spans="1:83" x14ac:dyDescent="0.25">
      <c r="A297">
        <v>21102111557</v>
      </c>
      <c r="B297">
        <v>0.22</v>
      </c>
      <c r="C297">
        <v>9525</v>
      </c>
      <c r="D297" t="s">
        <v>137</v>
      </c>
      <c r="E297" t="s">
        <v>54</v>
      </c>
      <c r="F297" t="s">
        <v>54</v>
      </c>
      <c r="G297">
        <v>3</v>
      </c>
      <c r="H297" t="s">
        <v>55</v>
      </c>
      <c r="I297">
        <v>127300</v>
      </c>
      <c r="J297">
        <v>28600</v>
      </c>
      <c r="K297">
        <v>0.22</v>
      </c>
      <c r="L297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297">
        <v>0</v>
      </c>
      <c r="N297">
        <v>0</v>
      </c>
      <c r="O297">
        <v>0</v>
      </c>
      <c r="P297">
        <v>47108.068500000001</v>
      </c>
      <c r="Q297">
        <v>122298</v>
      </c>
      <c r="R297">
        <f>(Granger_Inventory[[#This Row],[ln_acres]]*Granger_Inventory[[#This Row],[coeff]])+Granger_Inventory[[#This Row],[const]]</f>
        <v>50970.367053526847</v>
      </c>
      <c r="S297" t="s">
        <v>69</v>
      </c>
      <c r="T297">
        <v>1</v>
      </c>
      <c r="U297" t="s">
        <v>71</v>
      </c>
      <c r="V297" t="s">
        <v>77</v>
      </c>
      <c r="W297">
        <v>0</v>
      </c>
      <c r="X297">
        <v>0</v>
      </c>
      <c r="Y297">
        <v>51</v>
      </c>
      <c r="Z297">
        <v>78</v>
      </c>
      <c r="AA297">
        <v>80</v>
      </c>
      <c r="AB297">
        <v>1500</v>
      </c>
      <c r="AC297">
        <v>1206</v>
      </c>
      <c r="AD297">
        <v>1206</v>
      </c>
      <c r="AE297">
        <v>0</v>
      </c>
      <c r="AF297">
        <v>0</v>
      </c>
      <c r="AG297">
        <v>0</v>
      </c>
      <c r="AH297">
        <v>950</v>
      </c>
      <c r="AI297">
        <v>0</v>
      </c>
      <c r="AJ297">
        <v>0</v>
      </c>
      <c r="AK297">
        <v>1332</v>
      </c>
      <c r="AL297">
        <v>0</v>
      </c>
      <c r="AM297">
        <v>372</v>
      </c>
      <c r="AN297">
        <v>0</v>
      </c>
      <c r="AO297">
        <v>572</v>
      </c>
      <c r="AP297">
        <v>5</v>
      </c>
      <c r="AQ297">
        <v>0</v>
      </c>
      <c r="AR297">
        <v>1</v>
      </c>
      <c r="AS297" t="s">
        <v>59</v>
      </c>
      <c r="AT297">
        <v>1</v>
      </c>
      <c r="AU297" t="s">
        <v>68</v>
      </c>
      <c r="AV297" t="s">
        <v>65</v>
      </c>
      <c r="AW297">
        <v>0</v>
      </c>
      <c r="AX297">
        <v>3</v>
      </c>
      <c r="AY297">
        <v>0</v>
      </c>
      <c r="AZ297">
        <v>8700</v>
      </c>
      <c r="BA297">
        <v>100</v>
      </c>
      <c r="BB297">
        <v>100</v>
      </c>
      <c r="BC297">
        <v>100</v>
      </c>
      <c r="BD297">
        <v>100</v>
      </c>
      <c r="BE297">
        <v>1</v>
      </c>
      <c r="BF297">
        <v>15000</v>
      </c>
      <c r="BG297">
        <v>1000</v>
      </c>
      <c r="BH297" s="8">
        <f>Granger_Inventory[[#This Row],[land_extract]]*Lookups!$B$3</f>
        <v>30364.617541091193</v>
      </c>
      <c r="BI297" s="8">
        <f>IF(Granger_Inventory[[#This Row],[bldg_style]]="",0,Lookups!$B$2)</f>
        <v>29703.559000000001</v>
      </c>
      <c r="BJ297" s="8">
        <f>_xlfn.IFNA(VLOOKUP(Granger_Inventory[[#This Row],[quality]],Lookups!$H$2:$J$14,3,FALSE),0)</f>
        <v>34195</v>
      </c>
      <c r="BK297" s="8">
        <f>_xlfn.IFNA(VLOOKUP(Granger_Inventory[[#This Row],[condition]],Lookups!$H$17:$J$24,3,FALSE),0)</f>
        <v>33736</v>
      </c>
      <c r="BL297" s="8">
        <f>Granger_Inventory[[#This Row],[Age]]*Lookups!$B$16</f>
        <v>-16171.825799999999</v>
      </c>
      <c r="BM297" s="8">
        <f>Granger_Inventory[[#This Row],[living_area]]*Lookups!$B$17</f>
        <v>81131.128253999996</v>
      </c>
      <c r="BN297" s="8">
        <f>(Granger_Inventory[[#This Row],[att_gar]]+Granger_Inventory[[#This Row],[blt_gar]])*Lookups!$B$18</f>
        <v>0</v>
      </c>
      <c r="BO297" s="8">
        <f>Granger_Inventory[[#This Row],[Patio]]*Lookups!$B$19</f>
        <v>20205.215711999997</v>
      </c>
      <c r="BP297" s="8">
        <f>SUM(Granger_Inventory[[#This Row],[Intercept]:[Patio_Value]])*Granger_Inventory[[#This Row],[res_pct]]</f>
        <v>182799.077166</v>
      </c>
      <c r="BQ297" s="8">
        <f>Granger_Inventory[[#This Row],[land_value]]</f>
        <v>30364.617541091193</v>
      </c>
      <c r="BR297" s="4">
        <f>_xlfn.IFNA(VLOOKUP(Granger_Inventory[[#This Row],[quality]],Lookups!$A$25:$C$35,3,FALSE),1)</f>
        <v>0.98258795897788032</v>
      </c>
      <c r="BS297" s="4">
        <f>_xlfn.IFNA(VLOOKUP(Granger_Inventory[[#This Row],[condition]],Lookups!$A$38:$C$45,3,FALSE),1)</f>
        <v>0.92294678898076177</v>
      </c>
      <c r="BT297" s="4">
        <f>IF(Granger_Inventory[[#This Row],[decade]]="",1,_xlfn.IFNA(VLOOKUP(Granger_Inventory[[#This Row],[decade]],Lookups!$G$28:$I$42,3,FALSE),1))</f>
        <v>0.76006056002554967</v>
      </c>
      <c r="BU297" s="4">
        <f>_xlfn.IFNA(VLOOKUP(Granger_Inventory[[#This Row],[living_area_range]],Lookups!$A$48:$C$57,3,FALSE),1)</f>
        <v>0.97960506760539345</v>
      </c>
      <c r="BV297" s="4">
        <f>AVERAGE(Granger_Inventory[[#This Row],[qual_adj]:[living_range_adj]])</f>
        <v>0.9113000938973963</v>
      </c>
      <c r="BW297" s="8">
        <f>(Granger_Inventory[[#This Row],[sum_land]]-IF(Granger_Inventory[[#This Row],[no_utilities]]=1,12000,0))/IF(Granger_Inventory[[#This Row],[unbuildable]]=1,2,1)</f>
        <v>30364.617541091193</v>
      </c>
      <c r="BX297" s="8">
        <f>Granger_Inventory[[#This Row],[pre_res]]*Granger_Inventory[[#This Row],[overall_adj]]</f>
        <v>166584.81618573319</v>
      </c>
      <c r="BY297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297">
        <f>ROUND(Granger_Inventory[[#This Row],[detatched_value]]*Lookups!$I$45,-2)</f>
        <v>8300</v>
      </c>
      <c r="CA297">
        <f>IF(ROUND(Granger_Inventory[[#This Row],[adj_res]]*Lookups!$I$45,-2)&lt;Granger_Inventory[[#This Row],[min_res]],Granger_Inventory[[#This Row],[min_res]],ROUND(Granger_Inventory[[#This Row],[adj_res]]*Lookups!$I$45,-2))</f>
        <v>158300</v>
      </c>
      <c r="CB297">
        <f>Granger_Inventory[[#This Row],[final_det]]+Granger_Inventory[[#This Row],[final_res]]</f>
        <v>166600</v>
      </c>
      <c r="CC297">
        <f>Granger_Inventory[[#This Row],[final_land]]+Granger_Inventory[[#This Row],[final_imp]]+Granger_Inventory[[#This Row],[crop_value]]</f>
        <v>195400</v>
      </c>
      <c r="CE297" t="str">
        <f t="shared" si="4"/>
        <v>update valuation set market_land =28800, market_bldg=166600, market_total =195400, market_mdno =402, market_date ='9/10/2023' where link_id = (select link_id from parcel where parcel_year = '2024' and parcel_id = '21102111557');</v>
      </c>
    </row>
    <row r="298" spans="1:83" x14ac:dyDescent="0.25">
      <c r="A298">
        <v>21102111558</v>
      </c>
      <c r="B298">
        <v>0.16</v>
      </c>
      <c r="C298" t="s">
        <v>137</v>
      </c>
      <c r="D298" t="s">
        <v>137</v>
      </c>
      <c r="E298" t="s">
        <v>54</v>
      </c>
      <c r="F298" t="s">
        <v>54</v>
      </c>
      <c r="G298">
        <v>3</v>
      </c>
      <c r="H298" t="s">
        <v>55</v>
      </c>
      <c r="I298">
        <v>0</v>
      </c>
      <c r="J298">
        <v>26700</v>
      </c>
      <c r="K298">
        <v>0.16</v>
      </c>
      <c r="L29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298">
        <v>0</v>
      </c>
      <c r="N298">
        <v>0</v>
      </c>
      <c r="O298">
        <v>0</v>
      </c>
      <c r="P298">
        <v>47108.068500000001</v>
      </c>
      <c r="Q298">
        <v>122298</v>
      </c>
      <c r="R298">
        <f>(Granger_Inventory[[#This Row],[ln_acres]]*Granger_Inventory[[#This Row],[coeff]])+Granger_Inventory[[#This Row],[const]]</f>
        <v>35968.626873914327</v>
      </c>
      <c r="S298" t="s">
        <v>69</v>
      </c>
      <c r="T298">
        <v>1</v>
      </c>
      <c r="U298" t="s">
        <v>107</v>
      </c>
      <c r="V298" t="s">
        <v>109</v>
      </c>
      <c r="W298">
        <v>0</v>
      </c>
      <c r="X298">
        <v>0</v>
      </c>
      <c r="Y298">
        <v>53</v>
      </c>
      <c r="Z298">
        <v>92</v>
      </c>
      <c r="AA298">
        <v>100</v>
      </c>
      <c r="AB298">
        <v>1000</v>
      </c>
      <c r="AC298">
        <v>660</v>
      </c>
      <c r="AD298">
        <v>660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5</v>
      </c>
      <c r="AQ298">
        <v>0</v>
      </c>
      <c r="AR298">
        <v>0</v>
      </c>
      <c r="AS298" t="s">
        <v>59</v>
      </c>
      <c r="AT298">
        <v>0</v>
      </c>
      <c r="AU298" t="s">
        <v>83</v>
      </c>
      <c r="AV298" t="s">
        <v>61</v>
      </c>
      <c r="AW298">
        <v>0</v>
      </c>
      <c r="AX298">
        <v>2</v>
      </c>
      <c r="AY298">
        <v>0</v>
      </c>
      <c r="AZ298">
        <v>0</v>
      </c>
      <c r="BA298">
        <v>100</v>
      </c>
      <c r="BB298">
        <v>100</v>
      </c>
      <c r="BC298">
        <v>100</v>
      </c>
      <c r="BD298">
        <v>100</v>
      </c>
      <c r="BE298">
        <v>1</v>
      </c>
      <c r="BF298">
        <v>15000</v>
      </c>
      <c r="BG298">
        <v>1000</v>
      </c>
      <c r="BH298" s="8">
        <f>Granger_Inventory[[#This Row],[land_extract]]*Lookups!$B$3</f>
        <v>21427.618862498482</v>
      </c>
      <c r="BI298" s="8">
        <f>IF(Granger_Inventory[[#This Row],[bldg_style]]="",0,Lookups!$B$2)</f>
        <v>29703.559000000001</v>
      </c>
      <c r="BJ298" s="8">
        <f>_xlfn.IFNA(VLOOKUP(Granger_Inventory[[#This Row],[quality]],Lookups!$H$2:$J$14,3,FALSE),0)</f>
        <v>13627.20468015931</v>
      </c>
      <c r="BK298" s="8">
        <f>_xlfn.IFNA(VLOOKUP(Granger_Inventory[[#This Row],[condition]],Lookups!$H$17:$J$24,3,FALSE),0)</f>
        <v>8238</v>
      </c>
      <c r="BL298" s="8">
        <f>Granger_Inventory[[#This Row],[Age]]*Lookups!$B$16</f>
        <v>-19074.461199999998</v>
      </c>
      <c r="BM298" s="8">
        <f>Granger_Inventory[[#This Row],[living_area]]*Lookups!$B$17</f>
        <v>44400.119939999997</v>
      </c>
      <c r="BN298" s="8">
        <f>(Granger_Inventory[[#This Row],[att_gar]]+Granger_Inventory[[#This Row],[blt_gar]])*Lookups!$B$18</f>
        <v>0</v>
      </c>
      <c r="BO298" s="8">
        <f>Granger_Inventory[[#This Row],[Patio]]*Lookups!$B$19</f>
        <v>0</v>
      </c>
      <c r="BP298" s="8">
        <f>SUM(Granger_Inventory[[#This Row],[Intercept]:[Patio_Value]])*Granger_Inventory[[#This Row],[res_pct]]</f>
        <v>76894.422420159302</v>
      </c>
      <c r="BQ298" s="8">
        <f>Granger_Inventory[[#This Row],[land_value]]</f>
        <v>21427.618862498482</v>
      </c>
      <c r="BR298" s="4">
        <f>_xlfn.IFNA(VLOOKUP(Granger_Inventory[[#This Row],[quality]],Lookups!$A$25:$C$35,3,FALSE),1)</f>
        <v>0.77695375541795109</v>
      </c>
      <c r="BS298" s="4">
        <f>_xlfn.IFNA(VLOOKUP(Granger_Inventory[[#This Row],[condition]],Lookups!$A$38:$C$45,3,FALSE),1)</f>
        <v>0.59507759803100935</v>
      </c>
      <c r="BT298" s="4">
        <f>IF(Granger_Inventory[[#This Row],[decade]]="",1,_xlfn.IFNA(VLOOKUP(Granger_Inventory[[#This Row],[decade]],Lookups!$G$28:$I$42,3,FALSE),1))</f>
        <v>0.879441629375324</v>
      </c>
      <c r="BU298" s="4">
        <f>_xlfn.IFNA(VLOOKUP(Granger_Inventory[[#This Row],[living_area_range]],Lookups!$A$48:$C$57,3,FALSE),1)</f>
        <v>0.81272404900450645</v>
      </c>
      <c r="BV298" s="4">
        <f>AVERAGE(Granger_Inventory[[#This Row],[qual_adj]:[living_range_adj]])</f>
        <v>0.7660492579571978</v>
      </c>
      <c r="BW298" s="8">
        <f>(Granger_Inventory[[#This Row],[sum_land]]-IF(Granger_Inventory[[#This Row],[no_utilities]]=1,12000,0))/IF(Granger_Inventory[[#This Row],[unbuildable]]=1,2,1)</f>
        <v>21427.618862498482</v>
      </c>
      <c r="BX298" s="8">
        <f>Granger_Inventory[[#This Row],[pre_res]]*Granger_Inventory[[#This Row],[overall_adj]]</f>
        <v>58904.915236010347</v>
      </c>
      <c r="BY29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298">
        <f>ROUND(Granger_Inventory[[#This Row],[detatched_value]]*Lookups!$I$45,-2)</f>
        <v>0</v>
      </c>
      <c r="CA298">
        <f>IF(ROUND(Granger_Inventory[[#This Row],[adj_res]]*Lookups!$I$45,-2)&lt;Granger_Inventory[[#This Row],[min_res]],Granger_Inventory[[#This Row],[min_res]],ROUND(Granger_Inventory[[#This Row],[adj_res]]*Lookups!$I$45,-2))</f>
        <v>56000</v>
      </c>
      <c r="CB298">
        <f>Granger_Inventory[[#This Row],[final_det]]+Granger_Inventory[[#This Row],[final_res]]</f>
        <v>56000</v>
      </c>
      <c r="CC298">
        <f>Granger_Inventory[[#This Row],[final_land]]+Granger_Inventory[[#This Row],[final_imp]]+Granger_Inventory[[#This Row],[crop_value]]</f>
        <v>76400</v>
      </c>
      <c r="CE298" t="str">
        <f t="shared" si="4"/>
        <v>update valuation set market_land =20400, market_bldg=56000, market_total =76400, market_mdno =402, market_date ='9/10/2023' where link_id = (select link_id from parcel where parcel_year = '2024' and parcel_id = '21102111558');</v>
      </c>
    </row>
    <row r="299" spans="1:83" x14ac:dyDescent="0.25">
      <c r="A299">
        <v>21102111559</v>
      </c>
      <c r="B299">
        <v>0.27</v>
      </c>
      <c r="C299" t="s">
        <v>137</v>
      </c>
      <c r="D299" t="s">
        <v>137</v>
      </c>
      <c r="E299" t="s">
        <v>54</v>
      </c>
      <c r="F299" t="s">
        <v>54</v>
      </c>
      <c r="G299">
        <v>3</v>
      </c>
      <c r="H299" t="s">
        <v>55</v>
      </c>
      <c r="I299">
        <v>177400</v>
      </c>
      <c r="J299">
        <v>29800</v>
      </c>
      <c r="K299">
        <v>0.27</v>
      </c>
      <c r="L299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299">
        <v>0</v>
      </c>
      <c r="N299">
        <v>0</v>
      </c>
      <c r="O299">
        <v>0</v>
      </c>
      <c r="P299">
        <v>47108.068500000001</v>
      </c>
      <c r="Q299">
        <v>122298</v>
      </c>
      <c r="R299">
        <f>(Granger_Inventory[[#This Row],[ln_acres]]*Granger_Inventory[[#This Row],[coeff]])+Granger_Inventory[[#This Row],[const]]</f>
        <v>60617.836272872511</v>
      </c>
      <c r="S299" t="s">
        <v>69</v>
      </c>
      <c r="T299">
        <v>1</v>
      </c>
      <c r="U299" t="s">
        <v>71</v>
      </c>
      <c r="V299" t="s">
        <v>77</v>
      </c>
      <c r="W299">
        <v>0</v>
      </c>
      <c r="X299">
        <v>0</v>
      </c>
      <c r="Y299">
        <v>52</v>
      </c>
      <c r="Z299">
        <v>88</v>
      </c>
      <c r="AA299">
        <v>90</v>
      </c>
      <c r="AB299">
        <v>2500</v>
      </c>
      <c r="AC299">
        <v>2015</v>
      </c>
      <c r="AD299">
        <v>1044</v>
      </c>
      <c r="AE299">
        <v>0</v>
      </c>
      <c r="AF299">
        <v>0</v>
      </c>
      <c r="AG299">
        <v>971</v>
      </c>
      <c r="AH299">
        <v>0</v>
      </c>
      <c r="AI299">
        <v>0</v>
      </c>
      <c r="AJ299">
        <v>0</v>
      </c>
      <c r="AK299">
        <v>420</v>
      </c>
      <c r="AL299">
        <v>0</v>
      </c>
      <c r="AM299">
        <v>468</v>
      </c>
      <c r="AN299">
        <v>96</v>
      </c>
      <c r="AO299">
        <v>468</v>
      </c>
      <c r="AP299">
        <v>5</v>
      </c>
      <c r="AQ299">
        <v>0</v>
      </c>
      <c r="AR299">
        <v>0</v>
      </c>
      <c r="AS299" t="s">
        <v>59</v>
      </c>
      <c r="AT299">
        <v>1</v>
      </c>
      <c r="AU299" t="s">
        <v>60</v>
      </c>
      <c r="AV299" t="s">
        <v>65</v>
      </c>
      <c r="AW299">
        <v>1</v>
      </c>
      <c r="AX299">
        <v>3</v>
      </c>
      <c r="AY299">
        <v>0</v>
      </c>
      <c r="AZ299">
        <v>0</v>
      </c>
      <c r="BA299">
        <v>100</v>
      </c>
      <c r="BB299">
        <v>100</v>
      </c>
      <c r="BC299">
        <v>100</v>
      </c>
      <c r="BD299">
        <v>100</v>
      </c>
      <c r="BE299">
        <v>1</v>
      </c>
      <c r="BF299">
        <v>15000</v>
      </c>
      <c r="BG299">
        <v>1000</v>
      </c>
      <c r="BH299" s="8">
        <f>Granger_Inventory[[#This Row],[land_extract]]*Lookups!$B$3</f>
        <v>36111.912097107357</v>
      </c>
      <c r="BI299" s="8">
        <f>IF(Granger_Inventory[[#This Row],[bldg_style]]="",0,Lookups!$B$2)</f>
        <v>29703.559000000001</v>
      </c>
      <c r="BJ299" s="8">
        <f>_xlfn.IFNA(VLOOKUP(Granger_Inventory[[#This Row],[quality]],Lookups!$H$2:$J$14,3,FALSE),0)</f>
        <v>34195</v>
      </c>
      <c r="BK299" s="8">
        <f>_xlfn.IFNA(VLOOKUP(Granger_Inventory[[#This Row],[condition]],Lookups!$H$17:$J$24,3,FALSE),0)</f>
        <v>33736</v>
      </c>
      <c r="BL299" s="8">
        <f>Granger_Inventory[[#This Row],[Age]]*Lookups!$B$16</f>
        <v>-18245.1368</v>
      </c>
      <c r="BM299" s="8">
        <f>Granger_Inventory[[#This Row],[living_area]]*Lookups!$B$17</f>
        <v>135554.911635</v>
      </c>
      <c r="BN299" s="8">
        <f>(Granger_Inventory[[#This Row],[att_gar]]+Granger_Inventory[[#This Row],[blt_gar]])*Lookups!$B$18</f>
        <v>0</v>
      </c>
      <c r="BO299" s="8">
        <f>Granger_Inventory[[#This Row],[Patio]]*Lookups!$B$19</f>
        <v>25419.464927999998</v>
      </c>
      <c r="BP299" s="8">
        <f>SUM(Granger_Inventory[[#This Row],[Intercept]:[Patio_Value]])*Granger_Inventory[[#This Row],[res_pct]]</f>
        <v>240363.798763</v>
      </c>
      <c r="BQ299" s="8">
        <f>Granger_Inventory[[#This Row],[land_value]]</f>
        <v>36111.912097107357</v>
      </c>
      <c r="BR299" s="4">
        <f>_xlfn.IFNA(VLOOKUP(Granger_Inventory[[#This Row],[quality]],Lookups!$A$25:$C$35,3,FALSE),1)</f>
        <v>0.98258795897788032</v>
      </c>
      <c r="BS299" s="4">
        <f>_xlfn.IFNA(VLOOKUP(Granger_Inventory[[#This Row],[condition]],Lookups!$A$38:$C$45,3,FALSE),1)</f>
        <v>0.92294678898076177</v>
      </c>
      <c r="BT299" s="4">
        <f>IF(Granger_Inventory[[#This Row],[decade]]="",1,_xlfn.IFNA(VLOOKUP(Granger_Inventory[[#This Row],[decade]],Lookups!$G$28:$I$42,3,FALSE),1))</f>
        <v>0.95234610137492615</v>
      </c>
      <c r="BU299" s="4">
        <f>_xlfn.IFNA(VLOOKUP(Granger_Inventory[[#This Row],[living_area_range]],Lookups!$A$48:$C$57,3,FALSE),1)</f>
        <v>1.0000039906678986</v>
      </c>
      <c r="BV299" s="4">
        <f>AVERAGE(Granger_Inventory[[#This Row],[qual_adj]:[living_range_adj]])</f>
        <v>0.96447121000036673</v>
      </c>
      <c r="BW299" s="8">
        <f>(Granger_Inventory[[#This Row],[sum_land]]-IF(Granger_Inventory[[#This Row],[no_utilities]]=1,12000,0))/IF(Granger_Inventory[[#This Row],[unbuildable]]=1,2,1)</f>
        <v>36111.912097107357</v>
      </c>
      <c r="BX299" s="8">
        <f>Granger_Inventory[[#This Row],[pre_res]]*Granger_Inventory[[#This Row],[overall_adj]]</f>
        <v>231823.96383323526</v>
      </c>
      <c r="BY299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299">
        <f>ROUND(Granger_Inventory[[#This Row],[detatched_value]]*Lookups!$I$45,-2)</f>
        <v>0</v>
      </c>
      <c r="CA299">
        <f>IF(ROUND(Granger_Inventory[[#This Row],[adj_res]]*Lookups!$I$45,-2)&lt;Granger_Inventory[[#This Row],[min_res]],Granger_Inventory[[#This Row],[min_res]],ROUND(Granger_Inventory[[#This Row],[adj_res]]*Lookups!$I$45,-2))</f>
        <v>220200</v>
      </c>
      <c r="CB299">
        <f>Granger_Inventory[[#This Row],[final_det]]+Granger_Inventory[[#This Row],[final_res]]</f>
        <v>220200</v>
      </c>
      <c r="CC299">
        <f>Granger_Inventory[[#This Row],[final_land]]+Granger_Inventory[[#This Row],[final_imp]]+Granger_Inventory[[#This Row],[crop_value]]</f>
        <v>254500</v>
      </c>
      <c r="CE299" t="str">
        <f t="shared" si="4"/>
        <v>update valuation set market_land =34300, market_bldg=220200, market_total =254500, market_mdno =402, market_date ='9/10/2023' where link_id = (select link_id from parcel where parcel_year = '2024' and parcel_id = '21102111559');</v>
      </c>
    </row>
    <row r="300" spans="1:83" x14ac:dyDescent="0.25">
      <c r="A300">
        <v>21102111560</v>
      </c>
      <c r="B300">
        <v>0.4</v>
      </c>
      <c r="C300" t="s">
        <v>137</v>
      </c>
      <c r="D300" t="s">
        <v>137</v>
      </c>
      <c r="E300" t="s">
        <v>54</v>
      </c>
      <c r="F300" t="s">
        <v>54</v>
      </c>
      <c r="G300">
        <v>3</v>
      </c>
      <c r="H300" t="s">
        <v>55</v>
      </c>
      <c r="I300">
        <v>0</v>
      </c>
      <c r="J300">
        <v>31500</v>
      </c>
      <c r="K300">
        <v>0.4</v>
      </c>
      <c r="L300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300">
        <v>0</v>
      </c>
      <c r="N300">
        <v>0</v>
      </c>
      <c r="O300">
        <v>0</v>
      </c>
      <c r="P300">
        <v>47108.068500000001</v>
      </c>
      <c r="Q300">
        <v>122298</v>
      </c>
      <c r="R300">
        <f>(Granger_Inventory[[#This Row],[ln_acres]]*Granger_Inventory[[#This Row],[coeff]])+Granger_Inventory[[#This Row],[const]]</f>
        <v>79133.313436957164</v>
      </c>
      <c r="S300" t="s">
        <v>62</v>
      </c>
      <c r="T300">
        <v>1</v>
      </c>
      <c r="U300" t="s">
        <v>74</v>
      </c>
      <c r="V300" t="s">
        <v>58</v>
      </c>
      <c r="W300">
        <v>30700</v>
      </c>
      <c r="X300">
        <v>0</v>
      </c>
      <c r="Y300">
        <v>0</v>
      </c>
      <c r="Z300">
        <v>0</v>
      </c>
      <c r="AA300">
        <v>0</v>
      </c>
      <c r="AB300">
        <v>3500</v>
      </c>
      <c r="AC300">
        <v>3204</v>
      </c>
      <c r="AD300">
        <v>3204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368</v>
      </c>
      <c r="AO300">
        <v>0</v>
      </c>
      <c r="AP300">
        <v>10</v>
      </c>
      <c r="AQ300">
        <v>0</v>
      </c>
      <c r="AR300">
        <v>0</v>
      </c>
      <c r="AS300" t="s">
        <v>59</v>
      </c>
      <c r="AT300">
        <v>1</v>
      </c>
      <c r="AU300" t="s">
        <v>63</v>
      </c>
      <c r="AV300" t="s">
        <v>61</v>
      </c>
      <c r="AW300">
        <v>1</v>
      </c>
      <c r="AX300">
        <v>5</v>
      </c>
      <c r="AY300">
        <v>0</v>
      </c>
      <c r="AZ300">
        <v>0</v>
      </c>
      <c r="BA300">
        <v>100</v>
      </c>
      <c r="BB300">
        <v>100</v>
      </c>
      <c r="BC300">
        <v>100</v>
      </c>
      <c r="BD300">
        <v>60</v>
      </c>
      <c r="BE300">
        <v>0.6</v>
      </c>
      <c r="BF300">
        <v>15000</v>
      </c>
      <c r="BG300">
        <v>1000</v>
      </c>
      <c r="BH300" s="8">
        <f>Granger_Inventory[[#This Row],[land_extract]]*Lookups!$B$3</f>
        <v>47142.152120449238</v>
      </c>
      <c r="BI300" s="8">
        <f>IF(Granger_Inventory[[#This Row],[bldg_style]]="",0,Lookups!$B$2)</f>
        <v>29703.559000000001</v>
      </c>
      <c r="BJ300" s="8">
        <f>_xlfn.IFNA(VLOOKUP(Granger_Inventory[[#This Row],[quality]],Lookups!$H$2:$J$14,3,FALSE),0)</f>
        <v>94366</v>
      </c>
      <c r="BK300" s="8">
        <f>_xlfn.IFNA(VLOOKUP(Granger_Inventory[[#This Row],[condition]],Lookups!$H$17:$J$24,3,FALSE),0)</f>
        <v>101774</v>
      </c>
      <c r="BL300" s="8">
        <f>Granger_Inventory[[#This Row],[Age]]*Lookups!$B$16</f>
        <v>0</v>
      </c>
      <c r="BM300" s="8">
        <f>Granger_Inventory[[#This Row],[living_area]]*Lookups!$B$17</f>
        <v>215542.400436</v>
      </c>
      <c r="BN300" s="8">
        <f>(Granger_Inventory[[#This Row],[att_gar]]+Granger_Inventory[[#This Row],[blt_gar]])*Lookups!$B$18</f>
        <v>0</v>
      </c>
      <c r="BO300" s="8">
        <f>Granger_Inventory[[#This Row],[Patio]]*Lookups!$B$19</f>
        <v>0</v>
      </c>
      <c r="BP300" s="8">
        <f>SUM(Granger_Inventory[[#This Row],[Intercept]:[Patio_Value]])*Granger_Inventory[[#This Row],[res_pct]]</f>
        <v>264831.57566159999</v>
      </c>
      <c r="BQ300" s="8">
        <f>Granger_Inventory[[#This Row],[land_value]]</f>
        <v>47142.152120449238</v>
      </c>
      <c r="BR300" s="4">
        <f>_xlfn.IFNA(VLOOKUP(Granger_Inventory[[#This Row],[quality]],Lookups!$A$25:$C$35,3,FALSE),1)</f>
        <v>0.99995754169072248</v>
      </c>
      <c r="BS300" s="4">
        <f>_xlfn.IFNA(VLOOKUP(Granger_Inventory[[#This Row],[condition]],Lookups!$A$38:$C$45,3,FALSE),1)</f>
        <v>0.99135053432734199</v>
      </c>
      <c r="BT300" s="4">
        <f>IF(Granger_Inventory[[#This Row],[decade]]="",1,_xlfn.IFNA(VLOOKUP(Granger_Inventory[[#This Row],[decade]],Lookups!$G$28:$I$42,3,FALSE),1))</f>
        <v>0.99951026660104636</v>
      </c>
      <c r="BU300" s="4">
        <f>_xlfn.IFNA(VLOOKUP(Granger_Inventory[[#This Row],[living_area_range]],Lookups!$A$48:$C$57,3,FALSE),1)</f>
        <v>0.99995754169072248</v>
      </c>
      <c r="BV300" s="4">
        <f>AVERAGE(Granger_Inventory[[#This Row],[qual_adj]:[living_range_adj]])</f>
        <v>0.99769397107745839</v>
      </c>
      <c r="BW300" s="8">
        <f>(Granger_Inventory[[#This Row],[sum_land]]-IF(Granger_Inventory[[#This Row],[no_utilities]]=1,12000,0))/IF(Granger_Inventory[[#This Row],[unbuildable]]=1,2,1)</f>
        <v>47142.152120449238</v>
      </c>
      <c r="BX300" s="8">
        <f>Granger_Inventory[[#This Row],[pre_res]]*Granger_Inventory[[#This Row],[overall_adj]]</f>
        <v>264220.86638852209</v>
      </c>
      <c r="BY300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300">
        <f>ROUND(Granger_Inventory[[#This Row],[detatched_value]]*Lookups!$I$45,-2)</f>
        <v>0</v>
      </c>
      <c r="CA300">
        <f>IF(ROUND(Granger_Inventory[[#This Row],[adj_res]]*Lookups!$I$45,-2)&lt;Granger_Inventory[[#This Row],[min_res]],Granger_Inventory[[#This Row],[min_res]],ROUND(Granger_Inventory[[#This Row],[adj_res]]*Lookups!$I$45,-2))</f>
        <v>251000</v>
      </c>
      <c r="CB300">
        <f>Granger_Inventory[[#This Row],[final_det]]+Granger_Inventory[[#This Row],[final_res]]</f>
        <v>251000</v>
      </c>
      <c r="CC300">
        <f>Granger_Inventory[[#This Row],[final_land]]+Granger_Inventory[[#This Row],[final_imp]]+Granger_Inventory[[#This Row],[crop_value]]</f>
        <v>295800</v>
      </c>
      <c r="CE300" t="str">
        <f t="shared" si="4"/>
        <v>update valuation set market_land =44800, market_bldg=251000, market_total =295800, market_mdno =402, market_date ='9/10/2023' where link_id = (select link_id from parcel where parcel_year = '2024' and parcel_id = '21102111560');</v>
      </c>
    </row>
    <row r="301" spans="1:83" x14ac:dyDescent="0.25">
      <c r="A301">
        <v>21102112404</v>
      </c>
      <c r="B301">
        <v>0.14000000000000001</v>
      </c>
      <c r="C301" t="s">
        <v>137</v>
      </c>
      <c r="D301" t="s">
        <v>137</v>
      </c>
      <c r="E301" t="s">
        <v>54</v>
      </c>
      <c r="F301" t="s">
        <v>54</v>
      </c>
      <c r="G301">
        <v>3</v>
      </c>
      <c r="H301" t="s">
        <v>55</v>
      </c>
      <c r="I301">
        <v>97500</v>
      </c>
      <c r="J301">
        <v>25900</v>
      </c>
      <c r="K301">
        <v>0.14000000000000001</v>
      </c>
      <c r="L30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01">
        <v>0</v>
      </c>
      <c r="N301">
        <v>0</v>
      </c>
      <c r="O301">
        <v>0</v>
      </c>
      <c r="P301">
        <v>47108.068500000001</v>
      </c>
      <c r="Q301">
        <v>122298</v>
      </c>
      <c r="R301">
        <f>(Granger_Inventory[[#This Row],[ln_acres]]*Granger_Inventory[[#This Row],[coeff]])+Granger_Inventory[[#This Row],[const]]</f>
        <v>29678.220883257934</v>
      </c>
      <c r="S301" t="s">
        <v>69</v>
      </c>
      <c r="T301">
        <v>1</v>
      </c>
      <c r="U301" t="s">
        <v>78</v>
      </c>
      <c r="V301" t="s">
        <v>72</v>
      </c>
      <c r="W301">
        <v>0</v>
      </c>
      <c r="X301">
        <v>0</v>
      </c>
      <c r="Y301">
        <v>52</v>
      </c>
      <c r="Z301">
        <v>88</v>
      </c>
      <c r="AA301">
        <v>90</v>
      </c>
      <c r="AB301">
        <v>1000</v>
      </c>
      <c r="AC301">
        <v>792</v>
      </c>
      <c r="AD301">
        <v>792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36</v>
      </c>
      <c r="AO301">
        <v>0</v>
      </c>
      <c r="AP301">
        <v>5</v>
      </c>
      <c r="AQ301">
        <v>0</v>
      </c>
      <c r="AR301">
        <v>0</v>
      </c>
      <c r="AS301" t="s">
        <v>59</v>
      </c>
      <c r="AT301">
        <v>1</v>
      </c>
      <c r="AU301" t="s">
        <v>60</v>
      </c>
      <c r="AV301" t="s">
        <v>65</v>
      </c>
      <c r="AW301">
        <v>0</v>
      </c>
      <c r="AX301">
        <v>2</v>
      </c>
      <c r="AY301">
        <v>0</v>
      </c>
      <c r="AZ301">
        <v>0</v>
      </c>
      <c r="BA301">
        <v>100</v>
      </c>
      <c r="BB301">
        <v>100</v>
      </c>
      <c r="BC301">
        <v>100</v>
      </c>
      <c r="BD301">
        <v>100</v>
      </c>
      <c r="BE301">
        <v>1</v>
      </c>
      <c r="BF301">
        <v>15000</v>
      </c>
      <c r="BG301">
        <v>1000</v>
      </c>
      <c r="BH301" s="8">
        <f>Granger_Inventory[[#This Row],[land_extract]]*Lookups!$B$3</f>
        <v>17680.230269359956</v>
      </c>
      <c r="BI301" s="8">
        <f>IF(Granger_Inventory[[#This Row],[bldg_style]]="",0,Lookups!$B$2)</f>
        <v>29703.559000000001</v>
      </c>
      <c r="BJ301" s="8">
        <f>_xlfn.IFNA(VLOOKUP(Granger_Inventory[[#This Row],[quality]],Lookups!$H$2:$J$14,3,FALSE),0)</f>
        <v>23737.786340274597</v>
      </c>
      <c r="BK301" s="8">
        <f>_xlfn.IFNA(VLOOKUP(Granger_Inventory[[#This Row],[condition]],Lookups!$H$17:$J$24,3,FALSE),0)</f>
        <v>94106</v>
      </c>
      <c r="BL301" s="8">
        <f>Granger_Inventory[[#This Row],[Age]]*Lookups!$B$16</f>
        <v>-18245.1368</v>
      </c>
      <c r="BM301" s="8">
        <f>Granger_Inventory[[#This Row],[living_area]]*Lookups!$B$17</f>
        <v>53280.143927999998</v>
      </c>
      <c r="BN301" s="8">
        <f>(Granger_Inventory[[#This Row],[att_gar]]+Granger_Inventory[[#This Row],[blt_gar]])*Lookups!$B$18</f>
        <v>0</v>
      </c>
      <c r="BO301" s="8">
        <f>Granger_Inventory[[#This Row],[Patio]]*Lookups!$B$19</f>
        <v>0</v>
      </c>
      <c r="BP301" s="8">
        <f>SUM(Granger_Inventory[[#This Row],[Intercept]:[Patio_Value]])*Granger_Inventory[[#This Row],[res_pct]]</f>
        <v>182582.35246827459</v>
      </c>
      <c r="BQ301" s="8">
        <f>Granger_Inventory[[#This Row],[land_value]]</f>
        <v>17680.230269359956</v>
      </c>
      <c r="BR301" s="4">
        <f>_xlfn.IFNA(VLOOKUP(Granger_Inventory[[#This Row],[quality]],Lookups!$A$25:$C$35,3,FALSE),1)</f>
        <v>0.77695375541795109</v>
      </c>
      <c r="BS301" s="4">
        <f>_xlfn.IFNA(VLOOKUP(Granger_Inventory[[#This Row],[condition]],Lookups!$A$38:$C$45,3,FALSE),1)</f>
        <v>0.98658583151544277</v>
      </c>
      <c r="BT301" s="4">
        <f>IF(Granger_Inventory[[#This Row],[decade]]="",1,_xlfn.IFNA(VLOOKUP(Granger_Inventory[[#This Row],[decade]],Lookups!$G$28:$I$42,3,FALSE),1))</f>
        <v>0.95234610137492615</v>
      </c>
      <c r="BU301" s="4">
        <f>_xlfn.IFNA(VLOOKUP(Granger_Inventory[[#This Row],[living_area_range]],Lookups!$A$48:$C$57,3,FALSE),1)</f>
        <v>0.81272404900450645</v>
      </c>
      <c r="BV301" s="4">
        <f>AVERAGE(Granger_Inventory[[#This Row],[qual_adj]:[living_range_adj]])</f>
        <v>0.88215243432820656</v>
      </c>
      <c r="BW301" s="8">
        <f>(Granger_Inventory[[#This Row],[sum_land]]-IF(Granger_Inventory[[#This Row],[no_utilities]]=1,12000,0))/IF(Granger_Inventory[[#This Row],[unbuildable]]=1,2,1)</f>
        <v>17680.230269359956</v>
      </c>
      <c r="BX301" s="8">
        <f>Granger_Inventory[[#This Row],[pre_res]]*Granger_Inventory[[#This Row],[overall_adj]]</f>
        <v>161065.46669525906</v>
      </c>
      <c r="BY30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01">
        <f>ROUND(Granger_Inventory[[#This Row],[detatched_value]]*Lookups!$I$45,-2)</f>
        <v>0</v>
      </c>
      <c r="CA301">
        <f>IF(ROUND(Granger_Inventory[[#This Row],[adj_res]]*Lookups!$I$45,-2)&lt;Granger_Inventory[[#This Row],[min_res]],Granger_Inventory[[#This Row],[min_res]],ROUND(Granger_Inventory[[#This Row],[adj_res]]*Lookups!$I$45,-2))</f>
        <v>153000</v>
      </c>
      <c r="CB301">
        <f>Granger_Inventory[[#This Row],[final_det]]+Granger_Inventory[[#This Row],[final_res]]</f>
        <v>153000</v>
      </c>
      <c r="CC301">
        <f>Granger_Inventory[[#This Row],[final_land]]+Granger_Inventory[[#This Row],[final_imp]]+Granger_Inventory[[#This Row],[crop_value]]</f>
        <v>169800</v>
      </c>
      <c r="CE301" t="str">
        <f t="shared" si="4"/>
        <v>update valuation set market_land =16800, market_bldg=153000, market_total =169800, market_mdno =402, market_date ='9/10/2023' where link_id = (select link_id from parcel where parcel_year = '2024' and parcel_id = '21102112404');</v>
      </c>
    </row>
    <row r="302" spans="1:83" x14ac:dyDescent="0.25">
      <c r="A302">
        <v>21102112407</v>
      </c>
      <c r="B302">
        <v>0.41</v>
      </c>
      <c r="C302">
        <v>17998</v>
      </c>
      <c r="D302" t="s">
        <v>137</v>
      </c>
      <c r="E302" t="s">
        <v>54</v>
      </c>
      <c r="F302" t="s">
        <v>54</v>
      </c>
      <c r="G302">
        <v>3</v>
      </c>
      <c r="H302" t="s">
        <v>55</v>
      </c>
      <c r="I302">
        <v>89000</v>
      </c>
      <c r="J302">
        <v>32300</v>
      </c>
      <c r="K302">
        <v>0.41</v>
      </c>
      <c r="L302">
        <f>IF(Granger_Inventory[[#This Row],[parcel_acres]]-Granger_Inventory[[#This Row],[non_valued_acres]] =0,0,LN(Granger_Inventory[[#This Row],[parcel_acres]]-Granger_Inventory[[#This Row],[non_valued_acres]]))</f>
        <v>-0.89159811928378363</v>
      </c>
      <c r="M302">
        <v>0</v>
      </c>
      <c r="N302">
        <v>0</v>
      </c>
      <c r="O302">
        <v>0</v>
      </c>
      <c r="P302">
        <v>47108.068500000001</v>
      </c>
      <c r="Q302">
        <v>122298</v>
      </c>
      <c r="R302">
        <f>(Granger_Inventory[[#This Row],[ln_acres]]*Granger_Inventory[[#This Row],[coeff]])+Granger_Inventory[[#This Row],[const]]</f>
        <v>80296.534722308352</v>
      </c>
      <c r="S302" t="s">
        <v>69</v>
      </c>
      <c r="T302">
        <v>1</v>
      </c>
      <c r="U302" t="s">
        <v>71</v>
      </c>
      <c r="V302" t="s">
        <v>77</v>
      </c>
      <c r="W302">
        <v>0</v>
      </c>
      <c r="X302">
        <v>0</v>
      </c>
      <c r="Y302">
        <v>51</v>
      </c>
      <c r="Z302">
        <v>83</v>
      </c>
      <c r="AA302">
        <v>90</v>
      </c>
      <c r="AB302">
        <v>1000</v>
      </c>
      <c r="AC302">
        <v>988</v>
      </c>
      <c r="AD302">
        <v>988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42</v>
      </c>
      <c r="AO302">
        <v>0</v>
      </c>
      <c r="AP302">
        <v>5</v>
      </c>
      <c r="AQ302">
        <v>0</v>
      </c>
      <c r="AR302">
        <v>0</v>
      </c>
      <c r="AS302" t="s">
        <v>59</v>
      </c>
      <c r="AT302">
        <v>1</v>
      </c>
      <c r="AU302" t="s">
        <v>60</v>
      </c>
      <c r="AV302" t="s">
        <v>61</v>
      </c>
      <c r="AW302">
        <v>0</v>
      </c>
      <c r="AX302">
        <v>2</v>
      </c>
      <c r="AY302">
        <v>0</v>
      </c>
      <c r="AZ302">
        <v>8600</v>
      </c>
      <c r="BA302">
        <v>100</v>
      </c>
      <c r="BB302">
        <v>100</v>
      </c>
      <c r="BC302">
        <v>100</v>
      </c>
      <c r="BD302">
        <v>100</v>
      </c>
      <c r="BE302">
        <v>1</v>
      </c>
      <c r="BF302">
        <v>15000</v>
      </c>
      <c r="BG302">
        <v>1000</v>
      </c>
      <c r="BH302" s="8">
        <f>Granger_Inventory[[#This Row],[land_extract]]*Lookups!$B$3</f>
        <v>47835.11886734853</v>
      </c>
      <c r="BI302" s="8">
        <f>IF(Granger_Inventory[[#This Row],[bldg_style]]="",0,Lookups!$B$2)</f>
        <v>29703.559000000001</v>
      </c>
      <c r="BJ302" s="8">
        <f>_xlfn.IFNA(VLOOKUP(Granger_Inventory[[#This Row],[quality]],Lookups!$H$2:$J$14,3,FALSE),0)</f>
        <v>34195</v>
      </c>
      <c r="BK302" s="8">
        <f>_xlfn.IFNA(VLOOKUP(Granger_Inventory[[#This Row],[condition]],Lookups!$H$17:$J$24,3,FALSE),0)</f>
        <v>33736</v>
      </c>
      <c r="BL302" s="8">
        <f>Granger_Inventory[[#This Row],[Age]]*Lookups!$B$16</f>
        <v>-17208.481299999999</v>
      </c>
      <c r="BM302" s="8">
        <f>Granger_Inventory[[#This Row],[living_area]]*Lookups!$B$17</f>
        <v>66465.634091999993</v>
      </c>
      <c r="BN302" s="8">
        <f>(Granger_Inventory[[#This Row],[att_gar]]+Granger_Inventory[[#This Row],[blt_gar]])*Lookups!$B$18</f>
        <v>0</v>
      </c>
      <c r="BO302" s="8">
        <f>Granger_Inventory[[#This Row],[Patio]]*Lookups!$B$19</f>
        <v>0</v>
      </c>
      <c r="BP302" s="8">
        <f>SUM(Granger_Inventory[[#This Row],[Intercept]:[Patio_Value]])*Granger_Inventory[[#This Row],[res_pct]]</f>
        <v>146891.71179199999</v>
      </c>
      <c r="BQ302" s="8">
        <f>Granger_Inventory[[#This Row],[land_value]]</f>
        <v>47835.11886734853</v>
      </c>
      <c r="BR302" s="4">
        <f>_xlfn.IFNA(VLOOKUP(Granger_Inventory[[#This Row],[quality]],Lookups!$A$25:$C$35,3,FALSE),1)</f>
        <v>0.98258795897788032</v>
      </c>
      <c r="BS302" s="4">
        <f>_xlfn.IFNA(VLOOKUP(Granger_Inventory[[#This Row],[condition]],Lookups!$A$38:$C$45,3,FALSE),1)</f>
        <v>0.92294678898076177</v>
      </c>
      <c r="BT302" s="4">
        <f>IF(Granger_Inventory[[#This Row],[decade]]="",1,_xlfn.IFNA(VLOOKUP(Granger_Inventory[[#This Row],[decade]],Lookups!$G$28:$I$42,3,FALSE),1))</f>
        <v>0.95234610137492615</v>
      </c>
      <c r="BU302" s="4">
        <f>_xlfn.IFNA(VLOOKUP(Granger_Inventory[[#This Row],[living_area_range]],Lookups!$A$48:$C$57,3,FALSE),1)</f>
        <v>0.81272404900450645</v>
      </c>
      <c r="BV302" s="4">
        <f>AVERAGE(Granger_Inventory[[#This Row],[qual_adj]:[living_range_adj]])</f>
        <v>0.91765122458451864</v>
      </c>
      <c r="BW302" s="8">
        <f>(Granger_Inventory[[#This Row],[sum_land]]-IF(Granger_Inventory[[#This Row],[no_utilities]]=1,12000,0))/IF(Granger_Inventory[[#This Row],[unbuildable]]=1,2,1)</f>
        <v>47835.11886734853</v>
      </c>
      <c r="BX302" s="8">
        <f>Granger_Inventory[[#This Row],[pre_res]]*Granger_Inventory[[#This Row],[overall_adj]]</f>
        <v>134795.35920724497</v>
      </c>
      <c r="BY302">
        <f>IF(ROUND(Granger_Inventory[[#This Row],[adj_land]]*Lookups!$I$45,-2)&lt;Granger_Inventory[[#This Row],[min_land]],Granger_Inventory[[#This Row],[min_land]],ROUND(Granger_Inventory[[#This Row],[adj_land]]*Lookups!$I$45,-2))</f>
        <v>45400</v>
      </c>
      <c r="BZ302">
        <f>ROUND(Granger_Inventory[[#This Row],[detatched_value]]*Lookups!$I$45,-2)</f>
        <v>8200</v>
      </c>
      <c r="CA302">
        <f>IF(ROUND(Granger_Inventory[[#This Row],[adj_res]]*Lookups!$I$45,-2)&lt;Granger_Inventory[[#This Row],[min_res]],Granger_Inventory[[#This Row],[min_res]],ROUND(Granger_Inventory[[#This Row],[adj_res]]*Lookups!$I$45,-2))</f>
        <v>128100</v>
      </c>
      <c r="CB302">
        <f>Granger_Inventory[[#This Row],[final_det]]+Granger_Inventory[[#This Row],[final_res]]</f>
        <v>136300</v>
      </c>
      <c r="CC302">
        <f>Granger_Inventory[[#This Row],[final_land]]+Granger_Inventory[[#This Row],[final_imp]]+Granger_Inventory[[#This Row],[crop_value]]</f>
        <v>181700</v>
      </c>
      <c r="CE302" t="str">
        <f t="shared" si="4"/>
        <v>update valuation set market_land =45400, market_bldg=136300, market_total =181700, market_mdno =402, market_date ='9/10/2023' where link_id = (select link_id from parcel where parcel_year = '2024' and parcel_id = '21102112407');</v>
      </c>
    </row>
    <row r="303" spans="1:83" x14ac:dyDescent="0.25">
      <c r="A303">
        <v>21102112412</v>
      </c>
      <c r="B303">
        <v>0.42</v>
      </c>
      <c r="C303">
        <v>18242</v>
      </c>
      <c r="D303" t="s">
        <v>137</v>
      </c>
      <c r="E303" t="s">
        <v>54</v>
      </c>
      <c r="F303" t="s">
        <v>54</v>
      </c>
      <c r="G303">
        <v>3</v>
      </c>
      <c r="H303" t="s">
        <v>55</v>
      </c>
      <c r="I303">
        <v>195200</v>
      </c>
      <c r="J303">
        <v>32400</v>
      </c>
      <c r="K303">
        <v>0.42</v>
      </c>
      <c r="L303">
        <f>IF(Granger_Inventory[[#This Row],[parcel_acres]]-Granger_Inventory[[#This Row],[non_valued_acres]] =0,0,LN(Granger_Inventory[[#This Row],[parcel_acres]]-Granger_Inventory[[#This Row],[non_valued_acres]]))</f>
        <v>-0.86750056770472306</v>
      </c>
      <c r="M303">
        <v>0</v>
      </c>
      <c r="N303">
        <v>0</v>
      </c>
      <c r="O303">
        <v>0</v>
      </c>
      <c r="P303">
        <v>47108.068500000001</v>
      </c>
      <c r="Q303">
        <v>122298</v>
      </c>
      <c r="R303">
        <f>(Granger_Inventory[[#This Row],[ln_acres]]*Granger_Inventory[[#This Row],[coeff]])+Granger_Inventory[[#This Row],[const]]</f>
        <v>81431.723832777017</v>
      </c>
      <c r="S303" t="s">
        <v>56</v>
      </c>
      <c r="T303">
        <v>1</v>
      </c>
      <c r="U303" t="s">
        <v>64</v>
      </c>
      <c r="V303" t="s">
        <v>77</v>
      </c>
      <c r="W303">
        <v>0</v>
      </c>
      <c r="X303">
        <v>0</v>
      </c>
      <c r="Y303">
        <v>38</v>
      </c>
      <c r="Z303">
        <v>38</v>
      </c>
      <c r="AA303">
        <v>40</v>
      </c>
      <c r="AB303">
        <v>2500</v>
      </c>
      <c r="AC303">
        <v>2111</v>
      </c>
      <c r="AD303">
        <v>1511</v>
      </c>
      <c r="AE303">
        <v>0</v>
      </c>
      <c r="AF303">
        <v>0</v>
      </c>
      <c r="AG303">
        <v>600</v>
      </c>
      <c r="AH303">
        <v>578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7</v>
      </c>
      <c r="AQ303">
        <v>0</v>
      </c>
      <c r="AR303">
        <v>0</v>
      </c>
      <c r="AS303" t="s">
        <v>59</v>
      </c>
      <c r="AT303">
        <v>1</v>
      </c>
      <c r="AU303" t="s">
        <v>60</v>
      </c>
      <c r="AV303" t="s">
        <v>65</v>
      </c>
      <c r="AW303">
        <v>0</v>
      </c>
      <c r="AX303">
        <v>3</v>
      </c>
      <c r="AY303">
        <v>0</v>
      </c>
      <c r="AZ303">
        <v>0</v>
      </c>
      <c r="BA303">
        <v>100</v>
      </c>
      <c r="BB303">
        <v>100</v>
      </c>
      <c r="BC303">
        <v>100</v>
      </c>
      <c r="BD303">
        <v>100</v>
      </c>
      <c r="BE303">
        <v>1</v>
      </c>
      <c r="BF303">
        <v>15000</v>
      </c>
      <c r="BG303">
        <v>1000</v>
      </c>
      <c r="BH303" s="8">
        <f>Granger_Inventory[[#This Row],[land_extract]]*Lookups!$B$3</f>
        <v>48511.385984279317</v>
      </c>
      <c r="BI303" s="8">
        <f>IF(Granger_Inventory[[#This Row],[bldg_style]]="",0,Lookups!$B$2)</f>
        <v>29703.559000000001</v>
      </c>
      <c r="BJ303" s="8">
        <f>_xlfn.IFNA(VLOOKUP(Granger_Inventory[[#This Row],[quality]],Lookups!$H$2:$J$14,3,FALSE),0)</f>
        <v>36568</v>
      </c>
      <c r="BK303" s="8">
        <f>_xlfn.IFNA(VLOOKUP(Granger_Inventory[[#This Row],[condition]],Lookups!$H$17:$J$24,3,FALSE),0)</f>
        <v>33736</v>
      </c>
      <c r="BL303" s="8">
        <f>Granger_Inventory[[#This Row],[Age]]*Lookups!$B$16</f>
        <v>-7878.5817999999999</v>
      </c>
      <c r="BM303" s="8">
        <f>Granger_Inventory[[#This Row],[living_area]]*Lookups!$B$17</f>
        <v>142013.11089899999</v>
      </c>
      <c r="BN303" s="8">
        <f>(Granger_Inventory[[#This Row],[att_gar]]+Granger_Inventory[[#This Row],[blt_gar]])*Lookups!$B$18</f>
        <v>0</v>
      </c>
      <c r="BO303" s="8">
        <f>Granger_Inventory[[#This Row],[Patio]]*Lookups!$B$19</f>
        <v>0</v>
      </c>
      <c r="BP303" s="8">
        <f>SUM(Granger_Inventory[[#This Row],[Intercept]:[Patio_Value]])*Granger_Inventory[[#This Row],[res_pct]]</f>
        <v>234142.08809899999</v>
      </c>
      <c r="BQ303" s="8">
        <f>Granger_Inventory[[#This Row],[land_value]]</f>
        <v>48511.385984279317</v>
      </c>
      <c r="BR303" s="4">
        <f>_xlfn.IFNA(VLOOKUP(Granger_Inventory[[#This Row],[quality]],Lookups!$A$25:$C$35,3,FALSE),1)</f>
        <v>0.99049976351917957</v>
      </c>
      <c r="BS303" s="4">
        <f>_xlfn.IFNA(VLOOKUP(Granger_Inventory[[#This Row],[condition]],Lookups!$A$38:$C$45,3,FALSE),1)</f>
        <v>0.92294678898076177</v>
      </c>
      <c r="BT303" s="4">
        <f>IF(Granger_Inventory[[#This Row],[decade]]="",1,_xlfn.IFNA(VLOOKUP(Granger_Inventory[[#This Row],[decade]],Lookups!$G$28:$I$42,3,FALSE),1))</f>
        <v>0.98127609555109363</v>
      </c>
      <c r="BU303" s="4">
        <f>_xlfn.IFNA(VLOOKUP(Granger_Inventory[[#This Row],[living_area_range]],Lookups!$A$48:$C$57,3,FALSE),1)</f>
        <v>1.0000039906678986</v>
      </c>
      <c r="BV303" s="4">
        <f>AVERAGE(Granger_Inventory[[#This Row],[qual_adj]:[living_range_adj]])</f>
        <v>0.9736816596797333</v>
      </c>
      <c r="BW303" s="8">
        <f>(Granger_Inventory[[#This Row],[sum_land]]-IF(Granger_Inventory[[#This Row],[no_utilities]]=1,12000,0))/IF(Granger_Inventory[[#This Row],[unbuildable]]=1,2,1)</f>
        <v>48511.385984279317</v>
      </c>
      <c r="BX303" s="8">
        <f>Granger_Inventory[[#This Row],[pre_res]]*Granger_Inventory[[#This Row],[overall_adj]]</f>
        <v>227979.85694111264</v>
      </c>
      <c r="BY303">
        <f>IF(ROUND(Granger_Inventory[[#This Row],[adj_land]]*Lookups!$I$45,-2)&lt;Granger_Inventory[[#This Row],[min_land]],Granger_Inventory[[#This Row],[min_land]],ROUND(Granger_Inventory[[#This Row],[adj_land]]*Lookups!$I$45,-2))</f>
        <v>46100</v>
      </c>
      <c r="BZ303">
        <f>ROUND(Granger_Inventory[[#This Row],[detatched_value]]*Lookups!$I$45,-2)</f>
        <v>0</v>
      </c>
      <c r="CA303">
        <f>IF(ROUND(Granger_Inventory[[#This Row],[adj_res]]*Lookups!$I$45,-2)&lt;Granger_Inventory[[#This Row],[min_res]],Granger_Inventory[[#This Row],[min_res]],ROUND(Granger_Inventory[[#This Row],[adj_res]]*Lookups!$I$45,-2))</f>
        <v>216600</v>
      </c>
      <c r="CB303">
        <f>Granger_Inventory[[#This Row],[final_det]]+Granger_Inventory[[#This Row],[final_res]]</f>
        <v>216600</v>
      </c>
      <c r="CC303">
        <f>Granger_Inventory[[#This Row],[final_land]]+Granger_Inventory[[#This Row],[final_imp]]+Granger_Inventory[[#This Row],[crop_value]]</f>
        <v>262700</v>
      </c>
      <c r="CE303" t="str">
        <f t="shared" si="4"/>
        <v>update valuation set market_land =46100, market_bldg=216600, market_total =262700, market_mdno =402, market_date ='9/10/2023' where link_id = (select link_id from parcel where parcel_year = '2024' and parcel_id = '21102112412');</v>
      </c>
    </row>
    <row r="304" spans="1:83" x14ac:dyDescent="0.25">
      <c r="A304">
        <v>21102112415</v>
      </c>
      <c r="B304">
        <v>0.32</v>
      </c>
      <c r="C304">
        <v>13750</v>
      </c>
      <c r="D304" t="s">
        <v>137</v>
      </c>
      <c r="E304" t="s">
        <v>54</v>
      </c>
      <c r="F304" t="s">
        <v>54</v>
      </c>
      <c r="G304">
        <v>3</v>
      </c>
      <c r="H304" t="s">
        <v>55</v>
      </c>
      <c r="I304">
        <v>56200</v>
      </c>
      <c r="J304">
        <v>30800</v>
      </c>
      <c r="K304">
        <v>0.32</v>
      </c>
      <c r="L304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304">
        <v>0</v>
      </c>
      <c r="N304">
        <v>0</v>
      </c>
      <c r="O304">
        <v>0</v>
      </c>
      <c r="P304">
        <v>47108.068500000001</v>
      </c>
      <c r="Q304">
        <v>122298</v>
      </c>
      <c r="R304">
        <f>(Granger_Inventory[[#This Row],[ln_acres]]*Granger_Inventory[[#This Row],[coeff]])+Granger_Inventory[[#This Row],[const]]</f>
        <v>68621.451736314106</v>
      </c>
      <c r="S304" t="s">
        <v>69</v>
      </c>
      <c r="T304">
        <v>1</v>
      </c>
      <c r="U304" t="s">
        <v>71</v>
      </c>
      <c r="V304" t="s">
        <v>79</v>
      </c>
      <c r="W304">
        <v>0</v>
      </c>
      <c r="X304">
        <v>0</v>
      </c>
      <c r="Y304">
        <v>53</v>
      </c>
      <c r="Z304">
        <v>93</v>
      </c>
      <c r="AA304">
        <v>100</v>
      </c>
      <c r="AB304">
        <v>1000</v>
      </c>
      <c r="AC304">
        <v>828</v>
      </c>
      <c r="AD304">
        <v>828</v>
      </c>
      <c r="AE304">
        <v>0</v>
      </c>
      <c r="AF304">
        <v>0</v>
      </c>
      <c r="AG304">
        <v>0</v>
      </c>
      <c r="AH304">
        <v>414</v>
      </c>
      <c r="AI304">
        <v>0</v>
      </c>
      <c r="AJ304">
        <v>0</v>
      </c>
      <c r="AK304">
        <v>425</v>
      </c>
      <c r="AL304">
        <v>0</v>
      </c>
      <c r="AM304">
        <v>50</v>
      </c>
      <c r="AN304">
        <v>0</v>
      </c>
      <c r="AO304">
        <v>0</v>
      </c>
      <c r="AP304">
        <v>5</v>
      </c>
      <c r="AQ304">
        <v>0</v>
      </c>
      <c r="AR304">
        <v>0</v>
      </c>
      <c r="AS304" t="s">
        <v>59</v>
      </c>
      <c r="AT304">
        <v>1</v>
      </c>
      <c r="AU304" t="s">
        <v>60</v>
      </c>
      <c r="AV304" t="s">
        <v>61</v>
      </c>
      <c r="AW304">
        <v>0</v>
      </c>
      <c r="AX304">
        <v>2</v>
      </c>
      <c r="AY304">
        <v>0</v>
      </c>
      <c r="AZ304">
        <v>0</v>
      </c>
      <c r="BA304">
        <v>100</v>
      </c>
      <c r="BB304">
        <v>100</v>
      </c>
      <c r="BC304">
        <v>100</v>
      </c>
      <c r="BD304">
        <v>100</v>
      </c>
      <c r="BE304">
        <v>1</v>
      </c>
      <c r="BF304">
        <v>15000</v>
      </c>
      <c r="BG304">
        <v>1000</v>
      </c>
      <c r="BH304" s="8">
        <f>Granger_Inventory[[#This Row],[land_extract]]*Lookups!$B$3</f>
        <v>40879.912340035793</v>
      </c>
      <c r="BI304" s="8">
        <f>IF(Granger_Inventory[[#This Row],[bldg_style]]="",0,Lookups!$B$2)</f>
        <v>29703.559000000001</v>
      </c>
      <c r="BJ304" s="8">
        <f>_xlfn.IFNA(VLOOKUP(Granger_Inventory[[#This Row],[quality]],Lookups!$H$2:$J$14,3,FALSE),0)</f>
        <v>34195</v>
      </c>
      <c r="BK304" s="8">
        <f>_xlfn.IFNA(VLOOKUP(Granger_Inventory[[#This Row],[condition]],Lookups!$H$17:$J$24,3,FALSE),0)</f>
        <v>86727</v>
      </c>
      <c r="BL304" s="8">
        <f>Granger_Inventory[[#This Row],[Age]]*Lookups!$B$16</f>
        <v>-19281.792300000001</v>
      </c>
      <c r="BM304" s="8">
        <f>Granger_Inventory[[#This Row],[living_area]]*Lookups!$B$17</f>
        <v>55701.968651999996</v>
      </c>
      <c r="BN304" s="8">
        <f>(Granger_Inventory[[#This Row],[att_gar]]+Granger_Inventory[[#This Row],[blt_gar]])*Lookups!$B$18</f>
        <v>0</v>
      </c>
      <c r="BO304" s="8">
        <f>Granger_Inventory[[#This Row],[Patio]]*Lookups!$B$19</f>
        <v>2715.7547999999997</v>
      </c>
      <c r="BP304" s="8">
        <f>SUM(Granger_Inventory[[#This Row],[Intercept]:[Patio_Value]])*Granger_Inventory[[#This Row],[res_pct]]</f>
        <v>189761.49015199998</v>
      </c>
      <c r="BQ304" s="8">
        <f>Granger_Inventory[[#This Row],[land_value]]</f>
        <v>40879.912340035793</v>
      </c>
      <c r="BR304" s="4">
        <f>_xlfn.IFNA(VLOOKUP(Granger_Inventory[[#This Row],[quality]],Lookups!$A$25:$C$35,3,FALSE),1)</f>
        <v>0.98258795897788032</v>
      </c>
      <c r="BS304" s="4">
        <f>_xlfn.IFNA(VLOOKUP(Granger_Inventory[[#This Row],[condition]],Lookups!$A$38:$C$45,3,FALSE),1)</f>
        <v>0.85322907131620684</v>
      </c>
      <c r="BT304" s="4">
        <f>IF(Granger_Inventory[[#This Row],[decade]]="",1,_xlfn.IFNA(VLOOKUP(Granger_Inventory[[#This Row],[decade]],Lookups!$G$28:$I$42,3,FALSE),1))</f>
        <v>0.879441629375324</v>
      </c>
      <c r="BU304" s="4">
        <f>_xlfn.IFNA(VLOOKUP(Granger_Inventory[[#This Row],[living_area_range]],Lookups!$A$48:$C$57,3,FALSE),1)</f>
        <v>0.81272404900450645</v>
      </c>
      <c r="BV304" s="4">
        <f>AVERAGE(Granger_Inventory[[#This Row],[qual_adj]:[living_range_adj]])</f>
        <v>0.88199567716847938</v>
      </c>
      <c r="BW304" s="8">
        <f>(Granger_Inventory[[#This Row],[sum_land]]-IF(Granger_Inventory[[#This Row],[no_utilities]]=1,12000,0))/IF(Granger_Inventory[[#This Row],[unbuildable]]=1,2,1)</f>
        <v>40879.912340035793</v>
      </c>
      <c r="BX304" s="8">
        <f>Granger_Inventory[[#This Row],[pre_res]]*Granger_Inventory[[#This Row],[overall_adj]]</f>
        <v>167368.81400711296</v>
      </c>
      <c r="BY304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304">
        <f>ROUND(Granger_Inventory[[#This Row],[detatched_value]]*Lookups!$I$45,-2)</f>
        <v>0</v>
      </c>
      <c r="CA304">
        <f>IF(ROUND(Granger_Inventory[[#This Row],[adj_res]]*Lookups!$I$45,-2)&lt;Granger_Inventory[[#This Row],[min_res]],Granger_Inventory[[#This Row],[min_res]],ROUND(Granger_Inventory[[#This Row],[adj_res]]*Lookups!$I$45,-2))</f>
        <v>159000</v>
      </c>
      <c r="CB304">
        <f>Granger_Inventory[[#This Row],[final_det]]+Granger_Inventory[[#This Row],[final_res]]</f>
        <v>159000</v>
      </c>
      <c r="CC304">
        <f>Granger_Inventory[[#This Row],[final_land]]+Granger_Inventory[[#This Row],[final_imp]]+Granger_Inventory[[#This Row],[crop_value]]</f>
        <v>197800</v>
      </c>
      <c r="CE304" t="str">
        <f t="shared" si="4"/>
        <v>update valuation set market_land =38800, market_bldg=159000, market_total =197800, market_mdno =402, market_date ='9/10/2023' where link_id = (select link_id from parcel where parcel_year = '2024' and parcel_id = '21102112415');</v>
      </c>
    </row>
    <row r="305" spans="1:83" x14ac:dyDescent="0.25">
      <c r="A305">
        <v>21102112416</v>
      </c>
      <c r="B305">
        <v>0.22</v>
      </c>
      <c r="C305" t="s">
        <v>137</v>
      </c>
      <c r="D305" t="s">
        <v>137</v>
      </c>
      <c r="E305" t="s">
        <v>54</v>
      </c>
      <c r="F305" t="s">
        <v>54</v>
      </c>
      <c r="G305">
        <v>3</v>
      </c>
      <c r="H305" t="s">
        <v>55</v>
      </c>
      <c r="I305">
        <v>119000</v>
      </c>
      <c r="J305">
        <v>28600</v>
      </c>
      <c r="K305">
        <v>0.22</v>
      </c>
      <c r="L305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305">
        <v>0</v>
      </c>
      <c r="N305">
        <v>0</v>
      </c>
      <c r="O305">
        <v>0</v>
      </c>
      <c r="P305">
        <v>47108.068500000001</v>
      </c>
      <c r="Q305">
        <v>122298</v>
      </c>
      <c r="R305">
        <f>(Granger_Inventory[[#This Row],[ln_acres]]*Granger_Inventory[[#This Row],[coeff]])+Granger_Inventory[[#This Row],[const]]</f>
        <v>50970.367053526847</v>
      </c>
      <c r="S305" t="s">
        <v>56</v>
      </c>
      <c r="T305">
        <v>1</v>
      </c>
      <c r="U305" t="s">
        <v>71</v>
      </c>
      <c r="V305" t="s">
        <v>79</v>
      </c>
      <c r="W305">
        <v>0</v>
      </c>
      <c r="X305">
        <v>0</v>
      </c>
      <c r="Y305">
        <v>47</v>
      </c>
      <c r="Z305">
        <v>58</v>
      </c>
      <c r="AA305">
        <v>60</v>
      </c>
      <c r="AB305">
        <v>1500</v>
      </c>
      <c r="AC305">
        <v>1196</v>
      </c>
      <c r="AD305">
        <v>1196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286</v>
      </c>
      <c r="AL305">
        <v>0</v>
      </c>
      <c r="AM305">
        <v>0</v>
      </c>
      <c r="AN305">
        <v>0</v>
      </c>
      <c r="AO305">
        <v>0</v>
      </c>
      <c r="AP305">
        <v>5</v>
      </c>
      <c r="AQ305">
        <v>0</v>
      </c>
      <c r="AR305">
        <v>0</v>
      </c>
      <c r="AS305" t="s">
        <v>59</v>
      </c>
      <c r="AT305">
        <v>1</v>
      </c>
      <c r="AU305" t="s">
        <v>60</v>
      </c>
      <c r="AV305" t="s">
        <v>61</v>
      </c>
      <c r="AW305">
        <v>0</v>
      </c>
      <c r="AX305">
        <v>4</v>
      </c>
      <c r="AY305">
        <v>0</v>
      </c>
      <c r="AZ305">
        <v>0</v>
      </c>
      <c r="BA305">
        <v>100</v>
      </c>
      <c r="BB305">
        <v>100</v>
      </c>
      <c r="BC305">
        <v>100</v>
      </c>
      <c r="BD305">
        <v>100</v>
      </c>
      <c r="BE305">
        <v>1</v>
      </c>
      <c r="BF305">
        <v>15000</v>
      </c>
      <c r="BG305">
        <v>1000</v>
      </c>
      <c r="BH305" s="8">
        <f>Granger_Inventory[[#This Row],[land_extract]]*Lookups!$B$3</f>
        <v>30364.617541091193</v>
      </c>
      <c r="BI305" s="8">
        <f>IF(Granger_Inventory[[#This Row],[bldg_style]]="",0,Lookups!$B$2)</f>
        <v>29703.559000000001</v>
      </c>
      <c r="BJ305" s="8">
        <f>_xlfn.IFNA(VLOOKUP(Granger_Inventory[[#This Row],[quality]],Lookups!$H$2:$J$14,3,FALSE),0)</f>
        <v>34195</v>
      </c>
      <c r="BK305" s="8">
        <f>_xlfn.IFNA(VLOOKUP(Granger_Inventory[[#This Row],[condition]],Lookups!$H$17:$J$24,3,FALSE),0)</f>
        <v>86727</v>
      </c>
      <c r="BL305" s="8">
        <f>Granger_Inventory[[#This Row],[Age]]*Lookups!$B$16</f>
        <v>-12025.203799999999</v>
      </c>
      <c r="BM305" s="8">
        <f>Granger_Inventory[[#This Row],[living_area]]*Lookups!$B$17</f>
        <v>80458.399164000002</v>
      </c>
      <c r="BN305" s="8">
        <f>(Granger_Inventory[[#This Row],[att_gar]]+Granger_Inventory[[#This Row],[blt_gar]])*Lookups!$B$18</f>
        <v>0</v>
      </c>
      <c r="BO305" s="8">
        <f>Granger_Inventory[[#This Row],[Patio]]*Lookups!$B$19</f>
        <v>0</v>
      </c>
      <c r="BP305" s="8">
        <f>SUM(Granger_Inventory[[#This Row],[Intercept]:[Patio_Value]])*Granger_Inventory[[#This Row],[res_pct]]</f>
        <v>219058.75436400002</v>
      </c>
      <c r="BQ305" s="8">
        <f>Granger_Inventory[[#This Row],[land_value]]</f>
        <v>30364.617541091193</v>
      </c>
      <c r="BR305" s="4">
        <f>_xlfn.IFNA(VLOOKUP(Granger_Inventory[[#This Row],[quality]],Lookups!$A$25:$C$35,3,FALSE),1)</f>
        <v>0.98258795897788032</v>
      </c>
      <c r="BS305" s="4">
        <f>_xlfn.IFNA(VLOOKUP(Granger_Inventory[[#This Row],[condition]],Lookups!$A$38:$C$45,3,FALSE),1)</f>
        <v>0.85322907131620684</v>
      </c>
      <c r="BT305" s="4">
        <f>IF(Granger_Inventory[[#This Row],[decade]]="",1,_xlfn.IFNA(VLOOKUP(Granger_Inventory[[#This Row],[decade]],Lookups!$G$28:$I$42,3,FALSE),1))</f>
        <v>0.86581421791274704</v>
      </c>
      <c r="BU305" s="4">
        <f>_xlfn.IFNA(VLOOKUP(Granger_Inventory[[#This Row],[living_area_range]],Lookups!$A$48:$C$57,3,FALSE),1)</f>
        <v>0.97960506760539345</v>
      </c>
      <c r="BV305" s="4">
        <f>AVERAGE(Granger_Inventory[[#This Row],[qual_adj]:[living_range_adj]])</f>
        <v>0.92030907895305702</v>
      </c>
      <c r="BW305" s="8">
        <f>(Granger_Inventory[[#This Row],[sum_land]]-IF(Granger_Inventory[[#This Row],[no_utilities]]=1,12000,0))/IF(Granger_Inventory[[#This Row],[unbuildable]]=1,2,1)</f>
        <v>30364.617541091193</v>
      </c>
      <c r="BX305" s="8">
        <f>Granger_Inventory[[#This Row],[pre_res]]*Granger_Inventory[[#This Row],[overall_adj]]</f>
        <v>201601.76046533682</v>
      </c>
      <c r="BY305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305">
        <f>ROUND(Granger_Inventory[[#This Row],[detatched_value]]*Lookups!$I$45,-2)</f>
        <v>0</v>
      </c>
      <c r="CA305">
        <f>IF(ROUND(Granger_Inventory[[#This Row],[adj_res]]*Lookups!$I$45,-2)&lt;Granger_Inventory[[#This Row],[min_res]],Granger_Inventory[[#This Row],[min_res]],ROUND(Granger_Inventory[[#This Row],[adj_res]]*Lookups!$I$45,-2))</f>
        <v>191500</v>
      </c>
      <c r="CB305">
        <f>Granger_Inventory[[#This Row],[final_det]]+Granger_Inventory[[#This Row],[final_res]]</f>
        <v>191500</v>
      </c>
      <c r="CC305">
        <f>Granger_Inventory[[#This Row],[final_land]]+Granger_Inventory[[#This Row],[final_imp]]+Granger_Inventory[[#This Row],[crop_value]]</f>
        <v>220300</v>
      </c>
      <c r="CE305" t="str">
        <f t="shared" si="4"/>
        <v>update valuation set market_land =28800, market_bldg=191500, market_total =220300, market_mdno =402, market_date ='9/10/2023' where link_id = (select link_id from parcel where parcel_year = '2024' and parcel_id = '21102112416');</v>
      </c>
    </row>
    <row r="306" spans="1:83" x14ac:dyDescent="0.25">
      <c r="A306">
        <v>21102112418</v>
      </c>
      <c r="B306">
        <v>0.18</v>
      </c>
      <c r="C306" t="s">
        <v>137</v>
      </c>
      <c r="D306" t="s">
        <v>137</v>
      </c>
      <c r="E306" t="s">
        <v>54</v>
      </c>
      <c r="F306" t="s">
        <v>54</v>
      </c>
      <c r="G306">
        <v>3</v>
      </c>
      <c r="H306" t="s">
        <v>55</v>
      </c>
      <c r="I306">
        <v>133900</v>
      </c>
      <c r="J306">
        <v>27400</v>
      </c>
      <c r="K306">
        <v>0.18</v>
      </c>
      <c r="L30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306">
        <v>0</v>
      </c>
      <c r="N306">
        <v>0</v>
      </c>
      <c r="O306">
        <v>0</v>
      </c>
      <c r="P306">
        <v>47108.068500000001</v>
      </c>
      <c r="Q306">
        <v>122298</v>
      </c>
      <c r="R306">
        <f>(Granger_Inventory[[#This Row],[ln_acres]]*Granger_Inventory[[#This Row],[coeff]])+Granger_Inventory[[#This Row],[const]]</f>
        <v>41517.1581857532</v>
      </c>
      <c r="S306" t="s">
        <v>56</v>
      </c>
      <c r="T306">
        <v>1</v>
      </c>
      <c r="U306" t="s">
        <v>64</v>
      </c>
      <c r="V306" t="s">
        <v>77</v>
      </c>
      <c r="W306">
        <v>0</v>
      </c>
      <c r="X306">
        <v>0</v>
      </c>
      <c r="Y306">
        <v>48</v>
      </c>
      <c r="Z306">
        <v>63</v>
      </c>
      <c r="AA306">
        <v>70</v>
      </c>
      <c r="AB306">
        <v>1500</v>
      </c>
      <c r="AC306">
        <v>1280</v>
      </c>
      <c r="AD306">
        <v>1280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176</v>
      </c>
      <c r="AN306">
        <v>0</v>
      </c>
      <c r="AO306">
        <v>176</v>
      </c>
      <c r="AP306">
        <v>8</v>
      </c>
      <c r="AQ306">
        <v>0</v>
      </c>
      <c r="AR306">
        <v>0</v>
      </c>
      <c r="AS306" t="s">
        <v>59</v>
      </c>
      <c r="AT306">
        <v>1</v>
      </c>
      <c r="AU306" t="s">
        <v>60</v>
      </c>
      <c r="AV306" t="s">
        <v>61</v>
      </c>
      <c r="AW306">
        <v>0</v>
      </c>
      <c r="AX306">
        <v>3</v>
      </c>
      <c r="AY306">
        <v>0</v>
      </c>
      <c r="AZ306">
        <v>0</v>
      </c>
      <c r="BA306">
        <v>100</v>
      </c>
      <c r="BB306">
        <v>100</v>
      </c>
      <c r="BC306">
        <v>100</v>
      </c>
      <c r="BD306">
        <v>100</v>
      </c>
      <c r="BE306">
        <v>1</v>
      </c>
      <c r="BF306">
        <v>15000</v>
      </c>
      <c r="BG306">
        <v>1000</v>
      </c>
      <c r="BH306" s="8">
        <f>Granger_Inventory[[#This Row],[land_extract]]*Lookups!$B$3</f>
        <v>24733.049859725303</v>
      </c>
      <c r="BI306" s="8">
        <f>IF(Granger_Inventory[[#This Row],[bldg_style]]="",0,Lookups!$B$2)</f>
        <v>29703.559000000001</v>
      </c>
      <c r="BJ306" s="8">
        <f>_xlfn.IFNA(VLOOKUP(Granger_Inventory[[#This Row],[quality]],Lookups!$H$2:$J$14,3,FALSE),0)</f>
        <v>36568</v>
      </c>
      <c r="BK306" s="8">
        <f>_xlfn.IFNA(VLOOKUP(Granger_Inventory[[#This Row],[condition]],Lookups!$H$17:$J$24,3,FALSE),0)</f>
        <v>33736</v>
      </c>
      <c r="BL306" s="8">
        <f>Granger_Inventory[[#This Row],[Age]]*Lookups!$B$16</f>
        <v>-13061.8593</v>
      </c>
      <c r="BM306" s="8">
        <f>Granger_Inventory[[#This Row],[living_area]]*Lookups!$B$17</f>
        <v>86109.323520000005</v>
      </c>
      <c r="BN306" s="8">
        <f>(Granger_Inventory[[#This Row],[att_gar]]+Granger_Inventory[[#This Row],[blt_gar]])*Lookups!$B$18</f>
        <v>0</v>
      </c>
      <c r="BO306" s="8">
        <f>Granger_Inventory[[#This Row],[Patio]]*Lookups!$B$19</f>
        <v>9559.4568959999997</v>
      </c>
      <c r="BP306" s="8">
        <f>SUM(Granger_Inventory[[#This Row],[Intercept]:[Patio_Value]])*Granger_Inventory[[#This Row],[res_pct]]</f>
        <v>182614.48011600002</v>
      </c>
      <c r="BQ306" s="8">
        <f>Granger_Inventory[[#This Row],[land_value]]</f>
        <v>24733.049859725303</v>
      </c>
      <c r="BR306" s="4">
        <f>_xlfn.IFNA(VLOOKUP(Granger_Inventory[[#This Row],[quality]],Lookups!$A$25:$C$35,3,FALSE),1)</f>
        <v>0.99049976351917957</v>
      </c>
      <c r="BS306" s="4">
        <f>_xlfn.IFNA(VLOOKUP(Granger_Inventory[[#This Row],[condition]],Lookups!$A$38:$C$45,3,FALSE),1)</f>
        <v>0.92294678898076177</v>
      </c>
      <c r="BT306" s="4">
        <f>IF(Granger_Inventory[[#This Row],[decade]]="",1,_xlfn.IFNA(VLOOKUP(Granger_Inventory[[#This Row],[decade]],Lookups!$G$28:$I$42,3,FALSE),1))</f>
        <v>1.0270382440255921</v>
      </c>
      <c r="BU306" s="4">
        <f>_xlfn.IFNA(VLOOKUP(Granger_Inventory[[#This Row],[living_area_range]],Lookups!$A$48:$C$57,3,FALSE),1)</f>
        <v>0.97960506760539345</v>
      </c>
      <c r="BV306" s="4">
        <f>AVERAGE(Granger_Inventory[[#This Row],[qual_adj]:[living_range_adj]])</f>
        <v>0.98002246603273169</v>
      </c>
      <c r="BW306" s="8">
        <f>(Granger_Inventory[[#This Row],[sum_land]]-IF(Granger_Inventory[[#This Row],[no_utilities]]=1,12000,0))/IF(Granger_Inventory[[#This Row],[unbuildable]]=1,2,1)</f>
        <v>24733.049859725303</v>
      </c>
      <c r="BX306" s="8">
        <f>Granger_Inventory[[#This Row],[pre_res]]*Granger_Inventory[[#This Row],[overall_adj]]</f>
        <v>178966.29313656758</v>
      </c>
      <c r="BY30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306">
        <f>ROUND(Granger_Inventory[[#This Row],[detatched_value]]*Lookups!$I$45,-2)</f>
        <v>0</v>
      </c>
      <c r="CA306">
        <f>IF(ROUND(Granger_Inventory[[#This Row],[adj_res]]*Lookups!$I$45,-2)&lt;Granger_Inventory[[#This Row],[min_res]],Granger_Inventory[[#This Row],[min_res]],ROUND(Granger_Inventory[[#This Row],[adj_res]]*Lookups!$I$45,-2))</f>
        <v>170000</v>
      </c>
      <c r="CB306">
        <f>Granger_Inventory[[#This Row],[final_det]]+Granger_Inventory[[#This Row],[final_res]]</f>
        <v>170000</v>
      </c>
      <c r="CC306">
        <f>Granger_Inventory[[#This Row],[final_land]]+Granger_Inventory[[#This Row],[final_imp]]+Granger_Inventory[[#This Row],[crop_value]]</f>
        <v>193500</v>
      </c>
      <c r="CE306" t="str">
        <f t="shared" si="4"/>
        <v>update valuation set market_land =23500, market_bldg=170000, market_total =193500, market_mdno =402, market_date ='9/10/2023' where link_id = (select link_id from parcel where parcel_year = '2024' and parcel_id = '21102112418');</v>
      </c>
    </row>
    <row r="307" spans="1:83" x14ac:dyDescent="0.25">
      <c r="A307">
        <v>21102112419</v>
      </c>
      <c r="B307">
        <v>0.21</v>
      </c>
      <c r="C307">
        <v>9125</v>
      </c>
      <c r="D307" t="s">
        <v>137</v>
      </c>
      <c r="E307" t="s">
        <v>54</v>
      </c>
      <c r="F307" t="s">
        <v>54</v>
      </c>
      <c r="G307">
        <v>3</v>
      </c>
      <c r="H307" t="s">
        <v>55</v>
      </c>
      <c r="I307">
        <v>159700</v>
      </c>
      <c r="J307">
        <v>28300</v>
      </c>
      <c r="K307">
        <v>0.21</v>
      </c>
      <c r="L307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307">
        <v>0</v>
      </c>
      <c r="N307">
        <v>0</v>
      </c>
      <c r="O307">
        <v>0</v>
      </c>
      <c r="P307">
        <v>47108.068500000001</v>
      </c>
      <c r="Q307">
        <v>122298</v>
      </c>
      <c r="R307">
        <f>(Granger_Inventory[[#This Row],[ln_acres]]*Granger_Inventory[[#This Row],[coeff]])+Granger_Inventory[[#This Row],[const]]</f>
        <v>48778.898970377239</v>
      </c>
      <c r="S307" t="s">
        <v>69</v>
      </c>
      <c r="T307">
        <v>1</v>
      </c>
      <c r="U307" t="s">
        <v>64</v>
      </c>
      <c r="V307" t="s">
        <v>77</v>
      </c>
      <c r="W307">
        <v>0</v>
      </c>
      <c r="X307">
        <v>0</v>
      </c>
      <c r="Y307">
        <v>50</v>
      </c>
      <c r="Z307">
        <v>73</v>
      </c>
      <c r="AA307">
        <v>80</v>
      </c>
      <c r="AB307">
        <v>2000</v>
      </c>
      <c r="AC307">
        <v>1572</v>
      </c>
      <c r="AD307">
        <v>1572</v>
      </c>
      <c r="AE307">
        <v>0</v>
      </c>
      <c r="AF307">
        <v>0</v>
      </c>
      <c r="AG307">
        <v>0</v>
      </c>
      <c r="AH307">
        <v>915</v>
      </c>
      <c r="AI307">
        <v>0</v>
      </c>
      <c r="AJ307">
        <v>0</v>
      </c>
      <c r="AK307">
        <v>0</v>
      </c>
      <c r="AL307">
        <v>144</v>
      </c>
      <c r="AM307">
        <v>0</v>
      </c>
      <c r="AN307">
        <v>111</v>
      </c>
      <c r="AO307">
        <v>144</v>
      </c>
      <c r="AP307">
        <v>6</v>
      </c>
      <c r="AQ307">
        <v>0</v>
      </c>
      <c r="AR307">
        <v>0</v>
      </c>
      <c r="AS307" t="s">
        <v>59</v>
      </c>
      <c r="AT307">
        <v>1</v>
      </c>
      <c r="AU307" t="s">
        <v>60</v>
      </c>
      <c r="AV307" t="s">
        <v>65</v>
      </c>
      <c r="AW307">
        <v>1</v>
      </c>
      <c r="AX307">
        <v>3</v>
      </c>
      <c r="AY307">
        <v>0</v>
      </c>
      <c r="AZ307">
        <v>0</v>
      </c>
      <c r="BA307">
        <v>100</v>
      </c>
      <c r="BB307">
        <v>100</v>
      </c>
      <c r="BC307">
        <v>100</v>
      </c>
      <c r="BD307">
        <v>100</v>
      </c>
      <c r="BE307">
        <v>1</v>
      </c>
      <c r="BF307">
        <v>15000</v>
      </c>
      <c r="BG307">
        <v>1000</v>
      </c>
      <c r="BH307" s="8">
        <f>Granger_Inventory[[#This Row],[land_extract]]*Lookups!$B$3</f>
        <v>29059.09250674201</v>
      </c>
      <c r="BI307" s="8">
        <f>IF(Granger_Inventory[[#This Row],[bldg_style]]="",0,Lookups!$B$2)</f>
        <v>29703.559000000001</v>
      </c>
      <c r="BJ307" s="8">
        <f>_xlfn.IFNA(VLOOKUP(Granger_Inventory[[#This Row],[quality]],Lookups!$H$2:$J$14,3,FALSE),0)</f>
        <v>36568</v>
      </c>
      <c r="BK307" s="8">
        <f>_xlfn.IFNA(VLOOKUP(Granger_Inventory[[#This Row],[condition]],Lookups!$H$17:$J$24,3,FALSE),0)</f>
        <v>33736</v>
      </c>
      <c r="BL307" s="8">
        <f>Granger_Inventory[[#This Row],[Age]]*Lookups!$B$16</f>
        <v>-15135.1703</v>
      </c>
      <c r="BM307" s="8">
        <f>Granger_Inventory[[#This Row],[living_area]]*Lookups!$B$17</f>
        <v>105753.012948</v>
      </c>
      <c r="BN307" s="8">
        <f>(Granger_Inventory[[#This Row],[att_gar]]+Granger_Inventory[[#This Row],[blt_gar]])*Lookups!$B$18</f>
        <v>0</v>
      </c>
      <c r="BO307" s="8">
        <f>Granger_Inventory[[#This Row],[Patio]]*Lookups!$B$19</f>
        <v>0</v>
      </c>
      <c r="BP307" s="8">
        <f>SUM(Granger_Inventory[[#This Row],[Intercept]:[Patio_Value]])*Granger_Inventory[[#This Row],[res_pct]]</f>
        <v>190625.401648</v>
      </c>
      <c r="BQ307" s="8">
        <f>Granger_Inventory[[#This Row],[land_value]]</f>
        <v>29059.09250674201</v>
      </c>
      <c r="BR307" s="4">
        <f>_xlfn.IFNA(VLOOKUP(Granger_Inventory[[#This Row],[quality]],Lookups!$A$25:$C$35,3,FALSE),1)</f>
        <v>0.99049976351917957</v>
      </c>
      <c r="BS307" s="4">
        <f>_xlfn.IFNA(VLOOKUP(Granger_Inventory[[#This Row],[condition]],Lookups!$A$38:$C$45,3,FALSE),1)</f>
        <v>0.92294678898076177</v>
      </c>
      <c r="BT307" s="4">
        <f>IF(Granger_Inventory[[#This Row],[decade]]="",1,_xlfn.IFNA(VLOOKUP(Granger_Inventory[[#This Row],[decade]],Lookups!$G$28:$I$42,3,FALSE),1))</f>
        <v>0.76006056002554967</v>
      </c>
      <c r="BU307" s="4">
        <f>_xlfn.IFNA(VLOOKUP(Granger_Inventory[[#This Row],[living_area_range]],Lookups!$A$48:$C$57,3,FALSE),1)</f>
        <v>0.97860968051050168</v>
      </c>
      <c r="BV307" s="4">
        <f>AVERAGE(Granger_Inventory[[#This Row],[qual_adj]:[living_range_adj]])</f>
        <v>0.9130291982589982</v>
      </c>
      <c r="BW307" s="8">
        <f>(Granger_Inventory[[#This Row],[sum_land]]-IF(Granger_Inventory[[#This Row],[no_utilities]]=1,12000,0))/IF(Granger_Inventory[[#This Row],[unbuildable]]=1,2,1)</f>
        <v>29059.09250674201</v>
      </c>
      <c r="BX307" s="8">
        <f>Granger_Inventory[[#This Row],[pre_res]]*Granger_Inventory[[#This Row],[overall_adj]]</f>
        <v>174046.55763447296</v>
      </c>
      <c r="BY307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307">
        <f>ROUND(Granger_Inventory[[#This Row],[detatched_value]]*Lookups!$I$45,-2)</f>
        <v>0</v>
      </c>
      <c r="CA307">
        <f>IF(ROUND(Granger_Inventory[[#This Row],[adj_res]]*Lookups!$I$45,-2)&lt;Granger_Inventory[[#This Row],[min_res]],Granger_Inventory[[#This Row],[min_res]],ROUND(Granger_Inventory[[#This Row],[adj_res]]*Lookups!$I$45,-2))</f>
        <v>165300</v>
      </c>
      <c r="CB307">
        <f>Granger_Inventory[[#This Row],[final_det]]+Granger_Inventory[[#This Row],[final_res]]</f>
        <v>165300</v>
      </c>
      <c r="CC307">
        <f>Granger_Inventory[[#This Row],[final_land]]+Granger_Inventory[[#This Row],[final_imp]]+Granger_Inventory[[#This Row],[crop_value]]</f>
        <v>192900</v>
      </c>
      <c r="CE307" t="str">
        <f t="shared" si="4"/>
        <v>update valuation set market_land =27600, market_bldg=165300, market_total =192900, market_mdno =402, market_date ='9/10/2023' where link_id = (select link_id from parcel where parcel_year = '2024' and parcel_id = '21102112419');</v>
      </c>
    </row>
    <row r="308" spans="1:83" x14ac:dyDescent="0.25">
      <c r="A308">
        <v>21102112423</v>
      </c>
      <c r="B308">
        <v>0.09</v>
      </c>
      <c r="C308">
        <v>4053</v>
      </c>
      <c r="D308" t="s">
        <v>137</v>
      </c>
      <c r="E308" t="s">
        <v>54</v>
      </c>
      <c r="F308" t="s">
        <v>54</v>
      </c>
      <c r="G308">
        <v>3</v>
      </c>
      <c r="H308" t="s">
        <v>55</v>
      </c>
      <c r="I308">
        <v>39700</v>
      </c>
      <c r="J308">
        <v>23300</v>
      </c>
      <c r="K308">
        <v>0.09</v>
      </c>
      <c r="L308">
        <f>IF(Granger_Inventory[[#This Row],[parcel_acres]]-Granger_Inventory[[#This Row],[non_valued_acres]] =0,0,LN(Granger_Inventory[[#This Row],[parcel_acres]]-Granger_Inventory[[#This Row],[non_valued_acres]]))</f>
        <v>-2.4079456086518722</v>
      </c>
      <c r="M308">
        <v>0</v>
      </c>
      <c r="N308">
        <v>0</v>
      </c>
      <c r="O308">
        <v>0</v>
      </c>
      <c r="P308">
        <v>47108.068500000001</v>
      </c>
      <c r="Q308">
        <v>122298</v>
      </c>
      <c r="R308">
        <f>(Granger_Inventory[[#This Row],[ln_acres]]*Granger_Inventory[[#This Row],[coeff]])+Granger_Inventory[[#This Row],[const]]</f>
        <v>8864.3333233534067</v>
      </c>
      <c r="S308" t="s">
        <v>69</v>
      </c>
      <c r="T308">
        <v>1</v>
      </c>
      <c r="U308" t="s">
        <v>71</v>
      </c>
      <c r="V308" t="s">
        <v>72</v>
      </c>
      <c r="W308">
        <v>0</v>
      </c>
      <c r="X308">
        <v>0</v>
      </c>
      <c r="Y308">
        <v>11</v>
      </c>
      <c r="Z308">
        <v>83</v>
      </c>
      <c r="AA308">
        <v>90</v>
      </c>
      <c r="AB308">
        <v>1000</v>
      </c>
      <c r="AC308">
        <v>908</v>
      </c>
      <c r="AD308">
        <v>908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5</v>
      </c>
      <c r="AQ308">
        <v>0</v>
      </c>
      <c r="AR308">
        <v>0</v>
      </c>
      <c r="AS308" t="s">
        <v>59</v>
      </c>
      <c r="AT308">
        <v>1</v>
      </c>
      <c r="AU308" t="s">
        <v>63</v>
      </c>
      <c r="AV308" t="s">
        <v>65</v>
      </c>
      <c r="AW308">
        <v>1</v>
      </c>
      <c r="AX308">
        <v>3</v>
      </c>
      <c r="AY308">
        <v>0</v>
      </c>
      <c r="AZ308">
        <v>0</v>
      </c>
      <c r="BA308">
        <v>100</v>
      </c>
      <c r="BB308">
        <v>100</v>
      </c>
      <c r="BC308">
        <v>100</v>
      </c>
      <c r="BD308">
        <v>100</v>
      </c>
      <c r="BE308">
        <v>1</v>
      </c>
      <c r="BF308">
        <v>15000</v>
      </c>
      <c r="BG308">
        <v>1000</v>
      </c>
      <c r="BH308" s="8">
        <f>Granger_Inventory[[#This Row],[land_extract]]*Lookups!$B$3</f>
        <v>5280.7563821879839</v>
      </c>
      <c r="BI308" s="8">
        <f>IF(Granger_Inventory[[#This Row],[bldg_style]]="",0,Lookups!$B$2)</f>
        <v>29703.559000000001</v>
      </c>
      <c r="BJ308" s="8">
        <f>_xlfn.IFNA(VLOOKUP(Granger_Inventory[[#This Row],[quality]],Lookups!$H$2:$J$14,3,FALSE),0)</f>
        <v>34195</v>
      </c>
      <c r="BK308" s="8">
        <f>_xlfn.IFNA(VLOOKUP(Granger_Inventory[[#This Row],[condition]],Lookups!$H$17:$J$24,3,FALSE),0)</f>
        <v>94106</v>
      </c>
      <c r="BL308" s="8">
        <f>Granger_Inventory[[#This Row],[Age]]*Lookups!$B$16</f>
        <v>-17208.481299999999</v>
      </c>
      <c r="BM308" s="8">
        <f>Granger_Inventory[[#This Row],[living_area]]*Lookups!$B$17</f>
        <v>61083.801372000002</v>
      </c>
      <c r="BN308" s="8">
        <f>(Granger_Inventory[[#This Row],[att_gar]]+Granger_Inventory[[#This Row],[blt_gar]])*Lookups!$B$18</f>
        <v>0</v>
      </c>
      <c r="BO308" s="8">
        <f>Granger_Inventory[[#This Row],[Patio]]*Lookups!$B$19</f>
        <v>0</v>
      </c>
      <c r="BP308" s="8">
        <f>SUM(Granger_Inventory[[#This Row],[Intercept]:[Patio_Value]])*Granger_Inventory[[#This Row],[res_pct]]</f>
        <v>201879.87907200004</v>
      </c>
      <c r="BQ308" s="8">
        <f>Granger_Inventory[[#This Row],[land_value]]</f>
        <v>5280.7563821879839</v>
      </c>
      <c r="BR308" s="4">
        <f>_xlfn.IFNA(VLOOKUP(Granger_Inventory[[#This Row],[quality]],Lookups!$A$25:$C$35,3,FALSE),1)</f>
        <v>0.98258795897788032</v>
      </c>
      <c r="BS308" s="4">
        <f>_xlfn.IFNA(VLOOKUP(Granger_Inventory[[#This Row],[condition]],Lookups!$A$38:$C$45,3,FALSE),1)</f>
        <v>0.98658583151544277</v>
      </c>
      <c r="BT308" s="4">
        <f>IF(Granger_Inventory[[#This Row],[decade]]="",1,_xlfn.IFNA(VLOOKUP(Granger_Inventory[[#This Row],[decade]],Lookups!$G$28:$I$42,3,FALSE),1))</f>
        <v>0.95234610137492615</v>
      </c>
      <c r="BU308" s="4">
        <f>_xlfn.IFNA(VLOOKUP(Granger_Inventory[[#This Row],[living_area_range]],Lookups!$A$48:$C$57,3,FALSE),1)</f>
        <v>0.81272404900450645</v>
      </c>
      <c r="BV308" s="4">
        <f>AVERAGE(Granger_Inventory[[#This Row],[qual_adj]:[living_range_adj]])</f>
        <v>0.93356098521818898</v>
      </c>
      <c r="BW308" s="8">
        <f>(Granger_Inventory[[#This Row],[sum_land]]-IF(Granger_Inventory[[#This Row],[no_utilities]]=1,12000,0))/IF(Granger_Inventory[[#This Row],[unbuildable]]=1,2,1)</f>
        <v>5280.7563821879839</v>
      </c>
      <c r="BX308" s="8">
        <f>Granger_Inventory[[#This Row],[pre_res]]*Granger_Inventory[[#This Row],[overall_adj]]</f>
        <v>188467.1788021852</v>
      </c>
      <c r="BY308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08">
        <f>ROUND(Granger_Inventory[[#This Row],[detatched_value]]*Lookups!$I$45,-2)</f>
        <v>0</v>
      </c>
      <c r="CA308">
        <f>IF(ROUND(Granger_Inventory[[#This Row],[adj_res]]*Lookups!$I$45,-2)&lt;Granger_Inventory[[#This Row],[min_res]],Granger_Inventory[[#This Row],[min_res]],ROUND(Granger_Inventory[[#This Row],[adj_res]]*Lookups!$I$45,-2))</f>
        <v>179000</v>
      </c>
      <c r="CB308">
        <f>Granger_Inventory[[#This Row],[final_det]]+Granger_Inventory[[#This Row],[final_res]]</f>
        <v>179000</v>
      </c>
      <c r="CC308">
        <f>Granger_Inventory[[#This Row],[final_land]]+Granger_Inventory[[#This Row],[final_imp]]+Granger_Inventory[[#This Row],[crop_value]]</f>
        <v>194000</v>
      </c>
      <c r="CE308" t="str">
        <f t="shared" si="4"/>
        <v>update valuation set market_land =15000, market_bldg=179000, market_total =194000, market_mdno =402, market_date ='9/10/2023' where link_id = (select link_id from parcel where parcel_year = '2024' and parcel_id = '21102112423');</v>
      </c>
    </row>
    <row r="309" spans="1:83" x14ac:dyDescent="0.25">
      <c r="A309">
        <v>21102112424</v>
      </c>
      <c r="B309">
        <v>0.25</v>
      </c>
      <c r="C309">
        <v>11078</v>
      </c>
      <c r="D309" t="s">
        <v>137</v>
      </c>
      <c r="E309" t="s">
        <v>54</v>
      </c>
      <c r="F309" t="s">
        <v>54</v>
      </c>
      <c r="G309">
        <v>3</v>
      </c>
      <c r="H309" t="s">
        <v>55</v>
      </c>
      <c r="I309">
        <v>191600</v>
      </c>
      <c r="J309">
        <v>29300</v>
      </c>
      <c r="K309">
        <v>0.25</v>
      </c>
      <c r="L309">
        <f>IF(Granger_Inventory[[#This Row],[parcel_acres]]-Granger_Inventory[[#This Row],[non_valued_acres]] =0,0,LN(Granger_Inventory[[#This Row],[parcel_acres]]-Granger_Inventory[[#This Row],[non_valued_acres]]))</f>
        <v>-1.3862943611198906</v>
      </c>
      <c r="M309">
        <v>0</v>
      </c>
      <c r="N309">
        <v>0</v>
      </c>
      <c r="O309">
        <v>0</v>
      </c>
      <c r="P309">
        <v>47108.068500000001</v>
      </c>
      <c r="Q309">
        <v>122298</v>
      </c>
      <c r="R309">
        <f>(Granger_Inventory[[#This Row],[ln_acres]]*Granger_Inventory[[#This Row],[coeff]])+Granger_Inventory[[#This Row],[const]]</f>
        <v>56992.350275200457</v>
      </c>
      <c r="S309" t="s">
        <v>62</v>
      </c>
      <c r="T309">
        <v>1</v>
      </c>
      <c r="U309" t="s">
        <v>64</v>
      </c>
      <c r="V309" t="s">
        <v>58</v>
      </c>
      <c r="W309">
        <v>0</v>
      </c>
      <c r="X309">
        <v>0</v>
      </c>
      <c r="Y309">
        <v>2</v>
      </c>
      <c r="Z309">
        <v>2</v>
      </c>
      <c r="AA309">
        <v>10</v>
      </c>
      <c r="AB309">
        <v>1500</v>
      </c>
      <c r="AC309">
        <v>1083</v>
      </c>
      <c r="AD309">
        <v>1083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105</v>
      </c>
      <c r="AO309">
        <v>0</v>
      </c>
      <c r="AP309">
        <v>8</v>
      </c>
      <c r="AQ309">
        <v>0</v>
      </c>
      <c r="AR309">
        <v>0</v>
      </c>
      <c r="AS309" t="s">
        <v>59</v>
      </c>
      <c r="AT309">
        <v>1</v>
      </c>
      <c r="AU309" t="s">
        <v>63</v>
      </c>
      <c r="AV309" t="s">
        <v>65</v>
      </c>
      <c r="AW309">
        <v>1</v>
      </c>
      <c r="AX309">
        <v>2</v>
      </c>
      <c r="AY309">
        <v>0</v>
      </c>
      <c r="AZ309">
        <v>0</v>
      </c>
      <c r="BA309">
        <v>100</v>
      </c>
      <c r="BB309">
        <v>100</v>
      </c>
      <c r="BC309">
        <v>100</v>
      </c>
      <c r="BD309">
        <v>100</v>
      </c>
      <c r="BE309">
        <v>1</v>
      </c>
      <c r="BF309">
        <v>15000</v>
      </c>
      <c r="BG309">
        <v>1000</v>
      </c>
      <c r="BH309" s="8">
        <f>Granger_Inventory[[#This Row],[land_extract]]*Lookups!$B$3</f>
        <v>33952.098423325391</v>
      </c>
      <c r="BI309" s="8">
        <f>IF(Granger_Inventory[[#This Row],[bldg_style]]="",0,Lookups!$B$2)</f>
        <v>29703.559000000001</v>
      </c>
      <c r="BJ309" s="8">
        <f>_xlfn.IFNA(VLOOKUP(Granger_Inventory[[#This Row],[quality]],Lookups!$H$2:$J$14,3,FALSE),0)</f>
        <v>36568</v>
      </c>
      <c r="BK309" s="8">
        <f>_xlfn.IFNA(VLOOKUP(Granger_Inventory[[#This Row],[condition]],Lookups!$H$17:$J$24,3,FALSE),0)</f>
        <v>101774</v>
      </c>
      <c r="BL309" s="8">
        <f>Granger_Inventory[[#This Row],[Age]]*Lookups!$B$16</f>
        <v>-414.66219999999998</v>
      </c>
      <c r="BM309" s="8">
        <f>Granger_Inventory[[#This Row],[living_area]]*Lookups!$B$17</f>
        <v>72856.560446999996</v>
      </c>
      <c r="BN309" s="8">
        <f>(Granger_Inventory[[#This Row],[att_gar]]+Granger_Inventory[[#This Row],[blt_gar]])*Lookups!$B$18</f>
        <v>0</v>
      </c>
      <c r="BO309" s="8">
        <f>Granger_Inventory[[#This Row],[Patio]]*Lookups!$B$19</f>
        <v>0</v>
      </c>
      <c r="BP309" s="8">
        <f>SUM(Granger_Inventory[[#This Row],[Intercept]:[Patio_Value]])*Granger_Inventory[[#This Row],[res_pct]]</f>
        <v>240487.45724700001</v>
      </c>
      <c r="BQ309" s="8">
        <f>Granger_Inventory[[#This Row],[land_value]]</f>
        <v>33952.098423325391</v>
      </c>
      <c r="BR309" s="4">
        <f>_xlfn.IFNA(VLOOKUP(Granger_Inventory[[#This Row],[quality]],Lookups!$A$25:$C$35,3,FALSE),1)</f>
        <v>0.99049976351917957</v>
      </c>
      <c r="BS309" s="4">
        <f>_xlfn.IFNA(VLOOKUP(Granger_Inventory[[#This Row],[condition]],Lookups!$A$38:$C$45,3,FALSE),1)</f>
        <v>0.99135053432734199</v>
      </c>
      <c r="BT309" s="4">
        <f>IF(Granger_Inventory[[#This Row],[decade]]="",1,_xlfn.IFNA(VLOOKUP(Granger_Inventory[[#This Row],[decade]],Lookups!$G$28:$I$42,3,FALSE),1))</f>
        <v>0.95532362136731586</v>
      </c>
      <c r="BU309" s="4">
        <f>_xlfn.IFNA(VLOOKUP(Granger_Inventory[[#This Row],[living_area_range]],Lookups!$A$48:$C$57,3,FALSE),1)</f>
        <v>0.97960506760539345</v>
      </c>
      <c r="BV309" s="4">
        <f>AVERAGE(Granger_Inventory[[#This Row],[qual_adj]:[living_range_adj]])</f>
        <v>0.97919474670480777</v>
      </c>
      <c r="BW309" s="8">
        <f>(Granger_Inventory[[#This Row],[sum_land]]-IF(Granger_Inventory[[#This Row],[no_utilities]]=1,12000,0))/IF(Granger_Inventory[[#This Row],[unbuildable]]=1,2,1)</f>
        <v>33952.098423325391</v>
      </c>
      <c r="BX309" s="8">
        <f>Granger_Inventory[[#This Row],[pre_res]]*Granger_Inventory[[#This Row],[overall_adj]]</f>
        <v>235484.05478465947</v>
      </c>
      <c r="BY309">
        <f>IF(ROUND(Granger_Inventory[[#This Row],[adj_land]]*Lookups!$I$45,-2)&lt;Granger_Inventory[[#This Row],[min_land]],Granger_Inventory[[#This Row],[min_land]],ROUND(Granger_Inventory[[#This Row],[adj_land]]*Lookups!$I$45,-2))</f>
        <v>32300</v>
      </c>
      <c r="BZ309">
        <f>ROUND(Granger_Inventory[[#This Row],[detatched_value]]*Lookups!$I$45,-2)</f>
        <v>0</v>
      </c>
      <c r="CA309">
        <f>IF(ROUND(Granger_Inventory[[#This Row],[adj_res]]*Lookups!$I$45,-2)&lt;Granger_Inventory[[#This Row],[min_res]],Granger_Inventory[[#This Row],[min_res]],ROUND(Granger_Inventory[[#This Row],[adj_res]]*Lookups!$I$45,-2))</f>
        <v>223700</v>
      </c>
      <c r="CB309">
        <f>Granger_Inventory[[#This Row],[final_det]]+Granger_Inventory[[#This Row],[final_res]]</f>
        <v>223700</v>
      </c>
      <c r="CC309">
        <f>Granger_Inventory[[#This Row],[final_land]]+Granger_Inventory[[#This Row],[final_imp]]+Granger_Inventory[[#This Row],[crop_value]]</f>
        <v>256000</v>
      </c>
      <c r="CE309" t="str">
        <f t="shared" si="4"/>
        <v>update valuation set market_land =32300, market_bldg=223700, market_total =256000, market_mdno =402, market_date ='9/10/2023' where link_id = (select link_id from parcel where parcel_year = '2024' and parcel_id = '21102112424');</v>
      </c>
    </row>
    <row r="310" spans="1:83" x14ac:dyDescent="0.25">
      <c r="A310">
        <v>21102112425</v>
      </c>
      <c r="B310">
        <v>0.28000000000000003</v>
      </c>
      <c r="C310">
        <v>12117</v>
      </c>
      <c r="D310" t="s">
        <v>137</v>
      </c>
      <c r="E310" t="s">
        <v>54</v>
      </c>
      <c r="F310" t="s">
        <v>54</v>
      </c>
      <c r="G310">
        <v>3</v>
      </c>
      <c r="H310" t="s">
        <v>55</v>
      </c>
      <c r="I310">
        <v>28100</v>
      </c>
      <c r="J310">
        <v>30000</v>
      </c>
      <c r="K310">
        <v>0.28000000000000003</v>
      </c>
      <c r="L310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310">
        <v>0</v>
      </c>
      <c r="N310">
        <v>0</v>
      </c>
      <c r="O310">
        <v>0</v>
      </c>
      <c r="P310">
        <v>47108.068500000001</v>
      </c>
      <c r="Q310">
        <v>122298</v>
      </c>
      <c r="R310">
        <f>(Granger_Inventory[[#This Row],[ln_acres]]*Granger_Inventory[[#This Row],[coeff]])+Granger_Inventory[[#This Row],[const]]</f>
        <v>62331.045745657706</v>
      </c>
      <c r="S310" t="s">
        <v>69</v>
      </c>
      <c r="T310">
        <v>1</v>
      </c>
      <c r="U310" t="s">
        <v>78</v>
      </c>
      <c r="V310" t="s">
        <v>79</v>
      </c>
      <c r="W310">
        <v>0</v>
      </c>
      <c r="X310">
        <v>0</v>
      </c>
      <c r="Y310">
        <v>52</v>
      </c>
      <c r="Z310">
        <v>88</v>
      </c>
      <c r="AA310">
        <v>90</v>
      </c>
      <c r="AB310">
        <v>1000</v>
      </c>
      <c r="AC310">
        <v>624</v>
      </c>
      <c r="AD310">
        <v>624</v>
      </c>
      <c r="AE310">
        <v>0</v>
      </c>
      <c r="AF310">
        <v>0</v>
      </c>
      <c r="AG310">
        <v>0</v>
      </c>
      <c r="AH310">
        <v>576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5</v>
      </c>
      <c r="AQ310">
        <v>0</v>
      </c>
      <c r="AR310">
        <v>0</v>
      </c>
      <c r="AS310" t="s">
        <v>59</v>
      </c>
      <c r="AT310">
        <v>1</v>
      </c>
      <c r="AU310" t="s">
        <v>76</v>
      </c>
      <c r="AV310" t="s">
        <v>65</v>
      </c>
      <c r="AW310">
        <v>0</v>
      </c>
      <c r="AX310">
        <v>2</v>
      </c>
      <c r="AY310">
        <v>0</v>
      </c>
      <c r="AZ310">
        <v>0</v>
      </c>
      <c r="BA310">
        <v>100</v>
      </c>
      <c r="BB310">
        <v>100</v>
      </c>
      <c r="BC310">
        <v>100</v>
      </c>
      <c r="BD310">
        <v>100</v>
      </c>
      <c r="BE310">
        <v>1</v>
      </c>
      <c r="BF310">
        <v>15000</v>
      </c>
      <c r="BG310">
        <v>1000</v>
      </c>
      <c r="BH310" s="8">
        <f>Granger_Inventory[[#This Row],[land_extract]]*Lookups!$B$3</f>
        <v>37132.523746897263</v>
      </c>
      <c r="BI310" s="8">
        <f>IF(Granger_Inventory[[#This Row],[bldg_style]]="",0,Lookups!$B$2)</f>
        <v>29703.559000000001</v>
      </c>
      <c r="BJ310" s="8">
        <f>_xlfn.IFNA(VLOOKUP(Granger_Inventory[[#This Row],[quality]],Lookups!$H$2:$J$14,3,FALSE),0)</f>
        <v>23737.786340274597</v>
      </c>
      <c r="BK310" s="8">
        <f>_xlfn.IFNA(VLOOKUP(Granger_Inventory[[#This Row],[condition]],Lookups!$H$17:$J$24,3,FALSE),0)</f>
        <v>86727</v>
      </c>
      <c r="BL310" s="8">
        <f>Granger_Inventory[[#This Row],[Age]]*Lookups!$B$16</f>
        <v>-18245.1368</v>
      </c>
      <c r="BM310" s="8">
        <f>Granger_Inventory[[#This Row],[living_area]]*Lookups!$B$17</f>
        <v>41978.295215999999</v>
      </c>
      <c r="BN310" s="8">
        <f>(Granger_Inventory[[#This Row],[att_gar]]+Granger_Inventory[[#This Row],[blt_gar]])*Lookups!$B$18</f>
        <v>0</v>
      </c>
      <c r="BO310" s="8">
        <f>Granger_Inventory[[#This Row],[Patio]]*Lookups!$B$19</f>
        <v>0</v>
      </c>
      <c r="BP310" s="8">
        <f>SUM(Granger_Inventory[[#This Row],[Intercept]:[Patio_Value]])*Granger_Inventory[[#This Row],[res_pct]]</f>
        <v>163901.50375627459</v>
      </c>
      <c r="BQ310" s="8">
        <f>Granger_Inventory[[#This Row],[land_value]]</f>
        <v>37132.523746897263</v>
      </c>
      <c r="BR310" s="4">
        <f>_xlfn.IFNA(VLOOKUP(Granger_Inventory[[#This Row],[quality]],Lookups!$A$25:$C$35,3,FALSE),1)</f>
        <v>0.77695375541795109</v>
      </c>
      <c r="BS310" s="4">
        <f>_xlfn.IFNA(VLOOKUP(Granger_Inventory[[#This Row],[condition]],Lookups!$A$38:$C$45,3,FALSE),1)</f>
        <v>0.85322907131620684</v>
      </c>
      <c r="BT310" s="4">
        <f>IF(Granger_Inventory[[#This Row],[decade]]="",1,_xlfn.IFNA(VLOOKUP(Granger_Inventory[[#This Row],[decade]],Lookups!$G$28:$I$42,3,FALSE),1))</f>
        <v>0.95234610137492615</v>
      </c>
      <c r="BU310" s="4">
        <f>_xlfn.IFNA(VLOOKUP(Granger_Inventory[[#This Row],[living_area_range]],Lookups!$A$48:$C$57,3,FALSE),1)</f>
        <v>0.81272404900450645</v>
      </c>
      <c r="BV310" s="4">
        <f>AVERAGE(Granger_Inventory[[#This Row],[qual_adj]:[living_range_adj]])</f>
        <v>0.84881324427839766</v>
      </c>
      <c r="BW310" s="8">
        <f>(Granger_Inventory[[#This Row],[sum_land]]-IF(Granger_Inventory[[#This Row],[no_utilities]]=1,12000,0))/IF(Granger_Inventory[[#This Row],[unbuildable]]=1,2,1)</f>
        <v>37132.523746897263</v>
      </c>
      <c r="BX310" s="8">
        <f>Granger_Inventory[[#This Row],[pre_res]]*Granger_Inventory[[#This Row],[overall_adj]]</f>
        <v>139121.76714547141</v>
      </c>
      <c r="BY310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310">
        <f>ROUND(Granger_Inventory[[#This Row],[detatched_value]]*Lookups!$I$45,-2)</f>
        <v>0</v>
      </c>
      <c r="CA310">
        <f>IF(ROUND(Granger_Inventory[[#This Row],[adj_res]]*Lookups!$I$45,-2)&lt;Granger_Inventory[[#This Row],[min_res]],Granger_Inventory[[#This Row],[min_res]],ROUND(Granger_Inventory[[#This Row],[adj_res]]*Lookups!$I$45,-2))</f>
        <v>132200</v>
      </c>
      <c r="CB310">
        <f>Granger_Inventory[[#This Row],[final_det]]+Granger_Inventory[[#This Row],[final_res]]</f>
        <v>132200</v>
      </c>
      <c r="CC310">
        <f>Granger_Inventory[[#This Row],[final_land]]+Granger_Inventory[[#This Row],[final_imp]]+Granger_Inventory[[#This Row],[crop_value]]</f>
        <v>167500</v>
      </c>
      <c r="CE310" t="str">
        <f t="shared" si="4"/>
        <v>update valuation set market_land =35300, market_bldg=132200, market_total =167500, market_mdno =402, market_date ='9/10/2023' where link_id = (select link_id from parcel where parcel_year = '2024' and parcel_id = '21102112425');</v>
      </c>
    </row>
    <row r="311" spans="1:83" x14ac:dyDescent="0.25">
      <c r="A311">
        <v>21102112426</v>
      </c>
      <c r="B311">
        <v>0.2</v>
      </c>
      <c r="C311">
        <v>8700</v>
      </c>
      <c r="D311" t="s">
        <v>137</v>
      </c>
      <c r="E311" t="s">
        <v>54</v>
      </c>
      <c r="F311" t="s">
        <v>54</v>
      </c>
      <c r="G311">
        <v>3</v>
      </c>
      <c r="H311" t="s">
        <v>55</v>
      </c>
      <c r="I311">
        <v>104100</v>
      </c>
      <c r="J311">
        <v>28000</v>
      </c>
      <c r="K311">
        <v>0.2</v>
      </c>
      <c r="L311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311">
        <v>0</v>
      </c>
      <c r="N311">
        <v>0</v>
      </c>
      <c r="O311">
        <v>0</v>
      </c>
      <c r="P311">
        <v>47108.068500000001</v>
      </c>
      <c r="Q311">
        <v>122298</v>
      </c>
      <c r="R311">
        <f>(Granger_Inventory[[#This Row],[ln_acres]]*Granger_Inventory[[#This Row],[coeff]])+Granger_Inventory[[#This Row],[const]]</f>
        <v>46480.488574557399</v>
      </c>
      <c r="S311" t="s">
        <v>69</v>
      </c>
      <c r="T311">
        <v>1</v>
      </c>
      <c r="U311" t="s">
        <v>64</v>
      </c>
      <c r="V311" t="s">
        <v>70</v>
      </c>
      <c r="W311">
        <v>0</v>
      </c>
      <c r="X311">
        <v>0</v>
      </c>
      <c r="Y311">
        <v>51</v>
      </c>
      <c r="Z311">
        <v>83</v>
      </c>
      <c r="AA311">
        <v>90</v>
      </c>
      <c r="AB311">
        <v>1000</v>
      </c>
      <c r="AC311">
        <v>874</v>
      </c>
      <c r="AD311">
        <v>874</v>
      </c>
      <c r="AE311">
        <v>0</v>
      </c>
      <c r="AF311">
        <v>0</v>
      </c>
      <c r="AG311">
        <v>0</v>
      </c>
      <c r="AH311">
        <v>0</v>
      </c>
      <c r="AI311">
        <v>300</v>
      </c>
      <c r="AJ311">
        <v>0</v>
      </c>
      <c r="AK311">
        <v>180</v>
      </c>
      <c r="AL311">
        <v>0</v>
      </c>
      <c r="AM311">
        <v>0</v>
      </c>
      <c r="AN311">
        <v>30</v>
      </c>
      <c r="AO311">
        <v>0</v>
      </c>
      <c r="AP311">
        <v>5</v>
      </c>
      <c r="AQ311">
        <v>0</v>
      </c>
      <c r="AR311">
        <v>0</v>
      </c>
      <c r="AS311" t="s">
        <v>81</v>
      </c>
      <c r="AT311">
        <v>1</v>
      </c>
      <c r="AU311" t="s">
        <v>63</v>
      </c>
      <c r="AV311" t="s">
        <v>61</v>
      </c>
      <c r="AW311">
        <v>1</v>
      </c>
      <c r="AX311">
        <v>2</v>
      </c>
      <c r="AY311">
        <v>0</v>
      </c>
      <c r="AZ311">
        <v>0</v>
      </c>
      <c r="BA311">
        <v>100</v>
      </c>
      <c r="BB311">
        <v>100</v>
      </c>
      <c r="BC311">
        <v>100</v>
      </c>
      <c r="BD311">
        <v>100</v>
      </c>
      <c r="BE311">
        <v>1</v>
      </c>
      <c r="BF311">
        <v>15000</v>
      </c>
      <c r="BG311">
        <v>1000</v>
      </c>
      <c r="BH311" s="8">
        <f>Granger_Inventory[[#This Row],[land_extract]]*Lookups!$B$3</f>
        <v>27689.858642911939</v>
      </c>
      <c r="BI311" s="8">
        <f>IF(Granger_Inventory[[#This Row],[bldg_style]]="",0,Lookups!$B$2)</f>
        <v>29703.559000000001</v>
      </c>
      <c r="BJ311" s="8">
        <f>_xlfn.IFNA(VLOOKUP(Granger_Inventory[[#This Row],[quality]],Lookups!$H$2:$J$14,3,FALSE),0)</f>
        <v>36568</v>
      </c>
      <c r="BK311" s="8">
        <f>_xlfn.IFNA(VLOOKUP(Granger_Inventory[[#This Row],[condition]],Lookups!$H$17:$J$24,3,FALSE),0)</f>
        <v>80695</v>
      </c>
      <c r="BL311" s="8">
        <f>Granger_Inventory[[#This Row],[Age]]*Lookups!$B$16</f>
        <v>-17208.481299999999</v>
      </c>
      <c r="BM311" s="8">
        <f>Granger_Inventory[[#This Row],[living_area]]*Lookups!$B$17</f>
        <v>58796.522466000002</v>
      </c>
      <c r="BN311" s="8">
        <f>(Granger_Inventory[[#This Row],[att_gar]]+Granger_Inventory[[#This Row],[blt_gar]])*Lookups!$B$18</f>
        <v>14534.275799999999</v>
      </c>
      <c r="BO311" s="8">
        <f>Granger_Inventory[[#This Row],[Patio]]*Lookups!$B$19</f>
        <v>0</v>
      </c>
      <c r="BP311" s="8">
        <f>SUM(Granger_Inventory[[#This Row],[Intercept]:[Patio_Value]])*Granger_Inventory[[#This Row],[res_pct]]</f>
        <v>203088.87596600002</v>
      </c>
      <c r="BQ311" s="8">
        <f>Granger_Inventory[[#This Row],[land_value]]</f>
        <v>27689.858642911939</v>
      </c>
      <c r="BR311" s="4">
        <f>_xlfn.IFNA(VLOOKUP(Granger_Inventory[[#This Row],[quality]],Lookups!$A$25:$C$35,3,FALSE),1)</f>
        <v>0.99049976351917957</v>
      </c>
      <c r="BS311" s="4">
        <f>_xlfn.IFNA(VLOOKUP(Granger_Inventory[[#This Row],[condition]],Lookups!$A$38:$C$45,3,FALSE),1)</f>
        <v>0.99484195314749324</v>
      </c>
      <c r="BT311" s="4">
        <f>IF(Granger_Inventory[[#This Row],[decade]]="",1,_xlfn.IFNA(VLOOKUP(Granger_Inventory[[#This Row],[decade]],Lookups!$G$28:$I$42,3,FALSE),1))</f>
        <v>0.95234610137492615</v>
      </c>
      <c r="BU311" s="4">
        <f>_xlfn.IFNA(VLOOKUP(Granger_Inventory[[#This Row],[living_area_range]],Lookups!$A$48:$C$57,3,FALSE),1)</f>
        <v>0.81272404900450645</v>
      </c>
      <c r="BV311" s="4">
        <f>AVERAGE(Granger_Inventory[[#This Row],[qual_adj]:[living_range_adj]])</f>
        <v>0.93760296676152632</v>
      </c>
      <c r="BW311" s="8">
        <f>(Granger_Inventory[[#This Row],[sum_land]]-IF(Granger_Inventory[[#This Row],[no_utilities]]=1,12000,0))/IF(Granger_Inventory[[#This Row],[unbuildable]]=1,2,1)</f>
        <v>27689.858642911939</v>
      </c>
      <c r="BX311" s="8">
        <f>Granger_Inventory[[#This Row],[pre_res]]*Granger_Inventory[[#This Row],[overall_adj]]</f>
        <v>190416.73262198525</v>
      </c>
      <c r="BY311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311">
        <f>ROUND(Granger_Inventory[[#This Row],[detatched_value]]*Lookups!$I$45,-2)</f>
        <v>0</v>
      </c>
      <c r="CA311">
        <f>IF(ROUND(Granger_Inventory[[#This Row],[adj_res]]*Lookups!$I$45,-2)&lt;Granger_Inventory[[#This Row],[min_res]],Granger_Inventory[[#This Row],[min_res]],ROUND(Granger_Inventory[[#This Row],[adj_res]]*Lookups!$I$45,-2))</f>
        <v>180900</v>
      </c>
      <c r="CB311">
        <f>Granger_Inventory[[#This Row],[final_det]]+Granger_Inventory[[#This Row],[final_res]]</f>
        <v>180900</v>
      </c>
      <c r="CC311">
        <f>Granger_Inventory[[#This Row],[final_land]]+Granger_Inventory[[#This Row],[final_imp]]+Granger_Inventory[[#This Row],[crop_value]]</f>
        <v>207200</v>
      </c>
      <c r="CE311" t="str">
        <f t="shared" si="4"/>
        <v>update valuation set market_land =26300, market_bldg=180900, market_total =207200, market_mdno =402, market_date ='9/10/2023' where link_id = (select link_id from parcel where parcel_year = '2024' and parcel_id = '21102112426');</v>
      </c>
    </row>
    <row r="312" spans="1:83" x14ac:dyDescent="0.25">
      <c r="A312">
        <v>21102112430</v>
      </c>
      <c r="B312">
        <v>0.24</v>
      </c>
      <c r="C312" t="s">
        <v>137</v>
      </c>
      <c r="D312" t="s">
        <v>137</v>
      </c>
      <c r="E312" t="s">
        <v>54</v>
      </c>
      <c r="F312" t="s">
        <v>54</v>
      </c>
      <c r="G312">
        <v>3</v>
      </c>
      <c r="H312" t="s">
        <v>55</v>
      </c>
      <c r="I312">
        <v>157900</v>
      </c>
      <c r="J312">
        <v>29100</v>
      </c>
      <c r="K312">
        <v>0.24</v>
      </c>
      <c r="L312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12">
        <v>0</v>
      </c>
      <c r="N312">
        <v>0</v>
      </c>
      <c r="O312">
        <v>0</v>
      </c>
      <c r="P312">
        <v>47108.068500000001</v>
      </c>
      <c r="Q312">
        <v>122298</v>
      </c>
      <c r="R312">
        <f>(Granger_Inventory[[#This Row],[ln_acres]]*Granger_Inventory[[#This Row],[coeff]])+Granger_Inventory[[#This Row],[const]]</f>
        <v>55069.304961033646</v>
      </c>
      <c r="S312" t="s">
        <v>56</v>
      </c>
      <c r="T312">
        <v>1</v>
      </c>
      <c r="U312" t="s">
        <v>64</v>
      </c>
      <c r="V312" t="s">
        <v>77</v>
      </c>
      <c r="W312">
        <v>0</v>
      </c>
      <c r="X312">
        <v>0</v>
      </c>
      <c r="Y312">
        <v>45</v>
      </c>
      <c r="Z312">
        <v>52</v>
      </c>
      <c r="AA312">
        <v>60</v>
      </c>
      <c r="AB312">
        <v>1500</v>
      </c>
      <c r="AC312">
        <v>1257</v>
      </c>
      <c r="AD312">
        <v>1257</v>
      </c>
      <c r="AE312">
        <v>0</v>
      </c>
      <c r="AF312">
        <v>0</v>
      </c>
      <c r="AG312">
        <v>0</v>
      </c>
      <c r="AH312">
        <v>0</v>
      </c>
      <c r="AI312">
        <v>441</v>
      </c>
      <c r="AJ312">
        <v>0</v>
      </c>
      <c r="AK312">
        <v>0</v>
      </c>
      <c r="AL312">
        <v>0</v>
      </c>
      <c r="AM312">
        <v>0</v>
      </c>
      <c r="AN312">
        <v>24</v>
      </c>
      <c r="AO312">
        <v>0</v>
      </c>
      <c r="AP312">
        <v>5</v>
      </c>
      <c r="AQ312">
        <v>0</v>
      </c>
      <c r="AR312">
        <v>0</v>
      </c>
      <c r="AS312" t="s">
        <v>59</v>
      </c>
      <c r="AT312">
        <v>1</v>
      </c>
      <c r="AU312" t="s">
        <v>60</v>
      </c>
      <c r="AV312" t="s">
        <v>65</v>
      </c>
      <c r="AW312">
        <v>0</v>
      </c>
      <c r="AX312">
        <v>3</v>
      </c>
      <c r="AY312">
        <v>0</v>
      </c>
      <c r="AZ312">
        <v>0</v>
      </c>
      <c r="BA312">
        <v>100</v>
      </c>
      <c r="BB312">
        <v>100</v>
      </c>
      <c r="BC312">
        <v>100</v>
      </c>
      <c r="BD312">
        <v>100</v>
      </c>
      <c r="BE312">
        <v>1</v>
      </c>
      <c r="BF312">
        <v>15000</v>
      </c>
      <c r="BG312">
        <v>1000</v>
      </c>
      <c r="BH312" s="8">
        <f>Granger_Inventory[[#This Row],[land_extract]]*Lookups!$B$3</f>
        <v>32806.481099880541</v>
      </c>
      <c r="BI312" s="8">
        <f>IF(Granger_Inventory[[#This Row],[bldg_style]]="",0,Lookups!$B$2)</f>
        <v>29703.559000000001</v>
      </c>
      <c r="BJ312" s="8">
        <f>_xlfn.IFNA(VLOOKUP(Granger_Inventory[[#This Row],[quality]],Lookups!$H$2:$J$14,3,FALSE),0)</f>
        <v>36568</v>
      </c>
      <c r="BK312" s="8">
        <f>_xlfn.IFNA(VLOOKUP(Granger_Inventory[[#This Row],[condition]],Lookups!$H$17:$J$24,3,FALSE),0)</f>
        <v>33736</v>
      </c>
      <c r="BL312" s="8">
        <f>Granger_Inventory[[#This Row],[Age]]*Lookups!$B$16</f>
        <v>-10781.217199999999</v>
      </c>
      <c r="BM312" s="8">
        <f>Granger_Inventory[[#This Row],[living_area]]*Lookups!$B$17</f>
        <v>84562.046612999999</v>
      </c>
      <c r="BN312" s="8">
        <f>(Granger_Inventory[[#This Row],[att_gar]]+Granger_Inventory[[#This Row],[blt_gar]])*Lookups!$B$18</f>
        <v>21365.385426000001</v>
      </c>
      <c r="BO312" s="8">
        <f>Granger_Inventory[[#This Row],[Patio]]*Lookups!$B$19</f>
        <v>0</v>
      </c>
      <c r="BP312" s="8">
        <f>SUM(Granger_Inventory[[#This Row],[Intercept]:[Patio_Value]])*Granger_Inventory[[#This Row],[res_pct]]</f>
        <v>195153.773839</v>
      </c>
      <c r="BQ312" s="8">
        <f>Granger_Inventory[[#This Row],[land_value]]</f>
        <v>32806.481099880541</v>
      </c>
      <c r="BR312" s="4">
        <f>_xlfn.IFNA(VLOOKUP(Granger_Inventory[[#This Row],[quality]],Lookups!$A$25:$C$35,3,FALSE),1)</f>
        <v>0.99049976351917957</v>
      </c>
      <c r="BS312" s="4">
        <f>_xlfn.IFNA(VLOOKUP(Granger_Inventory[[#This Row],[condition]],Lookups!$A$38:$C$45,3,FALSE),1)</f>
        <v>0.92294678898076177</v>
      </c>
      <c r="BT312" s="4">
        <f>IF(Granger_Inventory[[#This Row],[decade]]="",1,_xlfn.IFNA(VLOOKUP(Granger_Inventory[[#This Row],[decade]],Lookups!$G$28:$I$42,3,FALSE),1))</f>
        <v>0.86581421791274704</v>
      </c>
      <c r="BU312" s="4">
        <f>_xlfn.IFNA(VLOOKUP(Granger_Inventory[[#This Row],[living_area_range]],Lookups!$A$48:$C$57,3,FALSE),1)</f>
        <v>0.97960506760539345</v>
      </c>
      <c r="BV312" s="4">
        <f>AVERAGE(Granger_Inventory[[#This Row],[qual_adj]:[living_range_adj]])</f>
        <v>0.93971645950452043</v>
      </c>
      <c r="BW312" s="8">
        <f>(Granger_Inventory[[#This Row],[sum_land]]-IF(Granger_Inventory[[#This Row],[no_utilities]]=1,12000,0))/IF(Granger_Inventory[[#This Row],[unbuildable]]=1,2,1)</f>
        <v>32806.481099880541</v>
      </c>
      <c r="BX312" s="8">
        <f>Granger_Inventory[[#This Row],[pre_res]]*Granger_Inventory[[#This Row],[overall_adj]]</f>
        <v>183389.21341093097</v>
      </c>
      <c r="BY312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12">
        <f>ROUND(Granger_Inventory[[#This Row],[detatched_value]]*Lookups!$I$45,-2)</f>
        <v>0</v>
      </c>
      <c r="CA312">
        <f>IF(ROUND(Granger_Inventory[[#This Row],[adj_res]]*Lookups!$I$45,-2)&lt;Granger_Inventory[[#This Row],[min_res]],Granger_Inventory[[#This Row],[min_res]],ROUND(Granger_Inventory[[#This Row],[adj_res]]*Lookups!$I$45,-2))</f>
        <v>174200</v>
      </c>
      <c r="CB312">
        <f>Granger_Inventory[[#This Row],[final_det]]+Granger_Inventory[[#This Row],[final_res]]</f>
        <v>174200</v>
      </c>
      <c r="CC312">
        <f>Granger_Inventory[[#This Row],[final_land]]+Granger_Inventory[[#This Row],[final_imp]]+Granger_Inventory[[#This Row],[crop_value]]</f>
        <v>205400</v>
      </c>
      <c r="CE312" t="str">
        <f t="shared" si="4"/>
        <v>update valuation set market_land =31200, market_bldg=174200, market_total =205400, market_mdno =402, market_date ='9/10/2023' where link_id = (select link_id from parcel where parcel_year = '2024' and parcel_id = '21102112430');</v>
      </c>
    </row>
    <row r="313" spans="1:83" x14ac:dyDescent="0.25">
      <c r="A313">
        <v>21102112431</v>
      </c>
      <c r="B313">
        <v>0.24</v>
      </c>
      <c r="C313" t="s">
        <v>137</v>
      </c>
      <c r="D313" t="s">
        <v>137</v>
      </c>
      <c r="E313" t="s">
        <v>54</v>
      </c>
      <c r="F313" t="s">
        <v>54</v>
      </c>
      <c r="G313">
        <v>3</v>
      </c>
      <c r="H313" t="s">
        <v>55</v>
      </c>
      <c r="I313">
        <v>257500</v>
      </c>
      <c r="J313">
        <v>29100</v>
      </c>
      <c r="K313">
        <v>0.24</v>
      </c>
      <c r="L313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13">
        <v>0</v>
      </c>
      <c r="N313">
        <v>0</v>
      </c>
      <c r="O313">
        <v>0</v>
      </c>
      <c r="P313">
        <v>47108.068500000001</v>
      </c>
      <c r="Q313">
        <v>122298</v>
      </c>
      <c r="R313">
        <f>(Granger_Inventory[[#This Row],[ln_acres]]*Granger_Inventory[[#This Row],[coeff]])+Granger_Inventory[[#This Row],[const]]</f>
        <v>55069.304961033646</v>
      </c>
      <c r="S313" t="s">
        <v>66</v>
      </c>
      <c r="T313">
        <v>1</v>
      </c>
      <c r="U313" t="s">
        <v>71</v>
      </c>
      <c r="V313" t="s">
        <v>72</v>
      </c>
      <c r="W313">
        <v>0</v>
      </c>
      <c r="X313">
        <v>0</v>
      </c>
      <c r="Y313">
        <v>52</v>
      </c>
      <c r="Z313">
        <v>88</v>
      </c>
      <c r="AA313">
        <v>90</v>
      </c>
      <c r="AB313">
        <v>2000</v>
      </c>
      <c r="AC313">
        <v>1935</v>
      </c>
      <c r="AD313">
        <v>1306</v>
      </c>
      <c r="AE313">
        <v>0</v>
      </c>
      <c r="AF313">
        <v>0</v>
      </c>
      <c r="AG313">
        <v>629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45</v>
      </c>
      <c r="AO313">
        <v>0</v>
      </c>
      <c r="AP313">
        <v>8</v>
      </c>
      <c r="AQ313">
        <v>0</v>
      </c>
      <c r="AR313">
        <v>0</v>
      </c>
      <c r="AS313" t="s">
        <v>59</v>
      </c>
      <c r="AT313">
        <v>0</v>
      </c>
      <c r="AU313" t="s">
        <v>83</v>
      </c>
      <c r="AV313" t="s">
        <v>65</v>
      </c>
      <c r="AW313">
        <v>0</v>
      </c>
      <c r="AX313">
        <v>4</v>
      </c>
      <c r="AY313">
        <v>0</v>
      </c>
      <c r="AZ313">
        <v>0</v>
      </c>
      <c r="BA313">
        <v>100</v>
      </c>
      <c r="BB313">
        <v>100</v>
      </c>
      <c r="BC313">
        <v>100</v>
      </c>
      <c r="BD313">
        <v>100</v>
      </c>
      <c r="BE313">
        <v>1</v>
      </c>
      <c r="BF313">
        <v>15000</v>
      </c>
      <c r="BG313">
        <v>1000</v>
      </c>
      <c r="BH313" s="8">
        <f>Granger_Inventory[[#This Row],[land_extract]]*Lookups!$B$3</f>
        <v>32806.481099880541</v>
      </c>
      <c r="BI313" s="8">
        <f>IF(Granger_Inventory[[#This Row],[bldg_style]]="",0,Lookups!$B$2)</f>
        <v>29703.559000000001</v>
      </c>
      <c r="BJ313" s="8">
        <f>_xlfn.IFNA(VLOOKUP(Granger_Inventory[[#This Row],[quality]],Lookups!$H$2:$J$14,3,FALSE),0)</f>
        <v>34195</v>
      </c>
      <c r="BK313" s="8">
        <f>_xlfn.IFNA(VLOOKUP(Granger_Inventory[[#This Row],[condition]],Lookups!$H$17:$J$24,3,FALSE),0)</f>
        <v>94106</v>
      </c>
      <c r="BL313" s="8">
        <f>Granger_Inventory[[#This Row],[Age]]*Lookups!$B$16</f>
        <v>-18245.1368</v>
      </c>
      <c r="BM313" s="8">
        <f>Granger_Inventory[[#This Row],[living_area]]*Lookups!$B$17</f>
        <v>130173.07891499999</v>
      </c>
      <c r="BN313" s="8">
        <f>(Granger_Inventory[[#This Row],[att_gar]]+Granger_Inventory[[#This Row],[blt_gar]])*Lookups!$B$18</f>
        <v>0</v>
      </c>
      <c r="BO313" s="8">
        <f>Granger_Inventory[[#This Row],[Patio]]*Lookups!$B$19</f>
        <v>0</v>
      </c>
      <c r="BP313" s="8">
        <f>SUM(Granger_Inventory[[#This Row],[Intercept]:[Patio_Value]])*Granger_Inventory[[#This Row],[res_pct]]</f>
        <v>269932.50111499999</v>
      </c>
      <c r="BQ313" s="8">
        <f>Granger_Inventory[[#This Row],[land_value]]</f>
        <v>32806.481099880541</v>
      </c>
      <c r="BR313" s="4">
        <f>_xlfn.IFNA(VLOOKUP(Granger_Inventory[[#This Row],[quality]],Lookups!$A$25:$C$35,3,FALSE),1)</f>
        <v>0.98258795897788032</v>
      </c>
      <c r="BS313" s="4">
        <f>_xlfn.IFNA(VLOOKUP(Granger_Inventory[[#This Row],[condition]],Lookups!$A$38:$C$45,3,FALSE),1)</f>
        <v>0.98658583151544277</v>
      </c>
      <c r="BT313" s="4">
        <f>IF(Granger_Inventory[[#This Row],[decade]]="",1,_xlfn.IFNA(VLOOKUP(Granger_Inventory[[#This Row],[decade]],Lookups!$G$28:$I$42,3,FALSE),1))</f>
        <v>0.95234610137492615</v>
      </c>
      <c r="BU313" s="4">
        <f>_xlfn.IFNA(VLOOKUP(Granger_Inventory[[#This Row],[living_area_range]],Lookups!$A$48:$C$57,3,FALSE),1)</f>
        <v>0.97860968051050168</v>
      </c>
      <c r="BV313" s="4">
        <f>AVERAGE(Granger_Inventory[[#This Row],[qual_adj]:[living_range_adj]])</f>
        <v>0.97503239309468781</v>
      </c>
      <c r="BW313" s="8">
        <f>(Granger_Inventory[[#This Row],[sum_land]]-IF(Granger_Inventory[[#This Row],[no_utilities]]=1,12000,0))/IF(Granger_Inventory[[#This Row],[unbuildable]]=1,2,1)</f>
        <v>32806.481099880541</v>
      </c>
      <c r="BX313" s="8">
        <f>Granger_Inventory[[#This Row],[pre_res]]*Granger_Inventory[[#This Row],[overall_adj]]</f>
        <v>263192.93253619294</v>
      </c>
      <c r="BY313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13">
        <f>ROUND(Granger_Inventory[[#This Row],[detatched_value]]*Lookups!$I$45,-2)</f>
        <v>0</v>
      </c>
      <c r="CA313">
        <f>IF(ROUND(Granger_Inventory[[#This Row],[adj_res]]*Lookups!$I$45,-2)&lt;Granger_Inventory[[#This Row],[min_res]],Granger_Inventory[[#This Row],[min_res]],ROUND(Granger_Inventory[[#This Row],[adj_res]]*Lookups!$I$45,-2))</f>
        <v>250000</v>
      </c>
      <c r="CB313">
        <f>Granger_Inventory[[#This Row],[final_det]]+Granger_Inventory[[#This Row],[final_res]]</f>
        <v>250000</v>
      </c>
      <c r="CC313">
        <f>Granger_Inventory[[#This Row],[final_land]]+Granger_Inventory[[#This Row],[final_imp]]+Granger_Inventory[[#This Row],[crop_value]]</f>
        <v>281200</v>
      </c>
      <c r="CE313" t="str">
        <f t="shared" si="4"/>
        <v>update valuation set market_land =31200, market_bldg=250000, market_total =281200, market_mdno =402, market_date ='9/10/2023' where link_id = (select link_id from parcel where parcel_year = '2024' and parcel_id = '21102112431');</v>
      </c>
    </row>
    <row r="314" spans="1:83" x14ac:dyDescent="0.25">
      <c r="A314">
        <v>21102112432</v>
      </c>
      <c r="B314">
        <v>0.16</v>
      </c>
      <c r="C314" t="s">
        <v>137</v>
      </c>
      <c r="D314" t="s">
        <v>137</v>
      </c>
      <c r="E314" t="s">
        <v>54</v>
      </c>
      <c r="F314" t="s">
        <v>54</v>
      </c>
      <c r="G314">
        <v>3</v>
      </c>
      <c r="H314" t="s">
        <v>55</v>
      </c>
      <c r="I314">
        <v>204200</v>
      </c>
      <c r="J314">
        <v>26700</v>
      </c>
      <c r="K314">
        <v>0.16</v>
      </c>
      <c r="L31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14">
        <v>0</v>
      </c>
      <c r="N314">
        <v>0</v>
      </c>
      <c r="O314">
        <v>0</v>
      </c>
      <c r="P314">
        <v>47108.068500000001</v>
      </c>
      <c r="Q314">
        <v>122298</v>
      </c>
      <c r="R314">
        <f>(Granger_Inventory[[#This Row],[ln_acres]]*Granger_Inventory[[#This Row],[coeff]])+Granger_Inventory[[#This Row],[const]]</f>
        <v>35968.626873914327</v>
      </c>
      <c r="S314" t="s">
        <v>69</v>
      </c>
      <c r="T314">
        <v>1</v>
      </c>
      <c r="U314" t="s">
        <v>71</v>
      </c>
      <c r="V314" t="s">
        <v>77</v>
      </c>
      <c r="W314">
        <v>0</v>
      </c>
      <c r="X314">
        <v>0</v>
      </c>
      <c r="Y314">
        <v>55</v>
      </c>
      <c r="Z314">
        <v>98</v>
      </c>
      <c r="AA314">
        <v>100</v>
      </c>
      <c r="AB314">
        <v>2000</v>
      </c>
      <c r="AC314">
        <v>1606</v>
      </c>
      <c r="AD314">
        <v>1276</v>
      </c>
      <c r="AE314">
        <v>0</v>
      </c>
      <c r="AF314">
        <v>0</v>
      </c>
      <c r="AG314">
        <v>330</v>
      </c>
      <c r="AH314">
        <v>220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42</v>
      </c>
      <c r="AO314">
        <v>0</v>
      </c>
      <c r="AP314">
        <v>8</v>
      </c>
      <c r="AQ314">
        <v>1</v>
      </c>
      <c r="AR314">
        <v>0</v>
      </c>
      <c r="AS314" t="s">
        <v>59</v>
      </c>
      <c r="AT314">
        <v>1</v>
      </c>
      <c r="AU314" t="s">
        <v>76</v>
      </c>
      <c r="AV314" t="s">
        <v>65</v>
      </c>
      <c r="AW314">
        <v>0</v>
      </c>
      <c r="AX314">
        <v>5</v>
      </c>
      <c r="AY314">
        <v>0</v>
      </c>
      <c r="AZ314">
        <v>6800</v>
      </c>
      <c r="BA314">
        <v>100</v>
      </c>
      <c r="BB314">
        <v>100</v>
      </c>
      <c r="BC314">
        <v>100</v>
      </c>
      <c r="BD314">
        <v>100</v>
      </c>
      <c r="BE314">
        <v>1</v>
      </c>
      <c r="BF314">
        <v>15000</v>
      </c>
      <c r="BG314">
        <v>1000</v>
      </c>
      <c r="BH314" s="8">
        <f>Granger_Inventory[[#This Row],[land_extract]]*Lookups!$B$3</f>
        <v>21427.618862498482</v>
      </c>
      <c r="BI314" s="8">
        <f>IF(Granger_Inventory[[#This Row],[bldg_style]]="",0,Lookups!$B$2)</f>
        <v>29703.559000000001</v>
      </c>
      <c r="BJ314" s="8">
        <f>_xlfn.IFNA(VLOOKUP(Granger_Inventory[[#This Row],[quality]],Lookups!$H$2:$J$14,3,FALSE),0)</f>
        <v>34195</v>
      </c>
      <c r="BK314" s="8">
        <f>_xlfn.IFNA(VLOOKUP(Granger_Inventory[[#This Row],[condition]],Lookups!$H$17:$J$24,3,FALSE),0)</f>
        <v>33736</v>
      </c>
      <c r="BL314" s="8">
        <f>Granger_Inventory[[#This Row],[Age]]*Lookups!$B$16</f>
        <v>-20318.447799999998</v>
      </c>
      <c r="BM314" s="8">
        <f>Granger_Inventory[[#This Row],[living_area]]*Lookups!$B$17</f>
        <v>108040.291854</v>
      </c>
      <c r="BN314" s="8">
        <f>(Granger_Inventory[[#This Row],[att_gar]]+Granger_Inventory[[#This Row],[blt_gar]])*Lookups!$B$18</f>
        <v>0</v>
      </c>
      <c r="BO314" s="8">
        <f>Granger_Inventory[[#This Row],[Patio]]*Lookups!$B$19</f>
        <v>0</v>
      </c>
      <c r="BP314" s="8">
        <f>SUM(Granger_Inventory[[#This Row],[Intercept]:[Patio_Value]])*Granger_Inventory[[#This Row],[res_pct]]</f>
        <v>185356.40305399999</v>
      </c>
      <c r="BQ314" s="8">
        <f>Granger_Inventory[[#This Row],[land_value]]</f>
        <v>21427.618862498482</v>
      </c>
      <c r="BR314" s="4">
        <f>_xlfn.IFNA(VLOOKUP(Granger_Inventory[[#This Row],[quality]],Lookups!$A$25:$C$35,3,FALSE),1)</f>
        <v>0.98258795897788032</v>
      </c>
      <c r="BS314" s="4">
        <f>_xlfn.IFNA(VLOOKUP(Granger_Inventory[[#This Row],[condition]],Lookups!$A$38:$C$45,3,FALSE),1)</f>
        <v>0.92294678898076177</v>
      </c>
      <c r="BT314" s="4">
        <f>IF(Granger_Inventory[[#This Row],[decade]]="",1,_xlfn.IFNA(VLOOKUP(Granger_Inventory[[#This Row],[decade]],Lookups!$G$28:$I$42,3,FALSE),1))</f>
        <v>0.879441629375324</v>
      </c>
      <c r="BU314" s="4">
        <f>_xlfn.IFNA(VLOOKUP(Granger_Inventory[[#This Row],[living_area_range]],Lookups!$A$48:$C$57,3,FALSE),1)</f>
        <v>0.97860968051050168</v>
      </c>
      <c r="BV314" s="4">
        <f>AVERAGE(Granger_Inventory[[#This Row],[qual_adj]:[living_range_adj]])</f>
        <v>0.940896514461117</v>
      </c>
      <c r="BW314" s="8">
        <f>(Granger_Inventory[[#This Row],[sum_land]]-IF(Granger_Inventory[[#This Row],[no_utilities]]=1,12000,0))/IF(Granger_Inventory[[#This Row],[unbuildable]]=1,2,1)</f>
        <v>21427.618862498482</v>
      </c>
      <c r="BX314" s="8">
        <f>Granger_Inventory[[#This Row],[pre_res]]*Granger_Inventory[[#This Row],[overall_adj]]</f>
        <v>174401.19356655853</v>
      </c>
      <c r="BY31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14">
        <f>ROUND(Granger_Inventory[[#This Row],[detatched_value]]*Lookups!$I$45,-2)</f>
        <v>6500</v>
      </c>
      <c r="CA314">
        <f>IF(ROUND(Granger_Inventory[[#This Row],[adj_res]]*Lookups!$I$45,-2)&lt;Granger_Inventory[[#This Row],[min_res]],Granger_Inventory[[#This Row],[min_res]],ROUND(Granger_Inventory[[#This Row],[adj_res]]*Lookups!$I$45,-2))</f>
        <v>165700</v>
      </c>
      <c r="CB314">
        <f>Granger_Inventory[[#This Row],[final_det]]+Granger_Inventory[[#This Row],[final_res]]</f>
        <v>172200</v>
      </c>
      <c r="CC314">
        <f>Granger_Inventory[[#This Row],[final_land]]+Granger_Inventory[[#This Row],[final_imp]]+Granger_Inventory[[#This Row],[crop_value]]</f>
        <v>192600</v>
      </c>
      <c r="CE314" t="str">
        <f t="shared" si="4"/>
        <v>update valuation set market_land =20400, market_bldg=172200, market_total =192600, market_mdno =402, market_date ='9/10/2023' where link_id = (select link_id from parcel where parcel_year = '2024' and parcel_id = '21102112432');</v>
      </c>
    </row>
    <row r="315" spans="1:83" x14ac:dyDescent="0.25">
      <c r="A315">
        <v>21102112433</v>
      </c>
      <c r="B315">
        <v>0.32</v>
      </c>
      <c r="C315" t="s">
        <v>137</v>
      </c>
      <c r="D315" t="s">
        <v>137</v>
      </c>
      <c r="E315" t="s">
        <v>54</v>
      </c>
      <c r="F315" t="s">
        <v>54</v>
      </c>
      <c r="G315">
        <v>3</v>
      </c>
      <c r="H315" t="s">
        <v>55</v>
      </c>
      <c r="I315">
        <v>146700</v>
      </c>
      <c r="J315">
        <v>30800</v>
      </c>
      <c r="K315">
        <v>0.32</v>
      </c>
      <c r="L315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315">
        <v>0</v>
      </c>
      <c r="N315">
        <v>0</v>
      </c>
      <c r="O315">
        <v>0</v>
      </c>
      <c r="P315">
        <v>47108.068500000001</v>
      </c>
      <c r="Q315">
        <v>122298</v>
      </c>
      <c r="R315">
        <f>(Granger_Inventory[[#This Row],[ln_acres]]*Granger_Inventory[[#This Row],[coeff]])+Granger_Inventory[[#This Row],[const]]</f>
        <v>68621.451736314106</v>
      </c>
      <c r="S315" t="s">
        <v>56</v>
      </c>
      <c r="T315">
        <v>1</v>
      </c>
      <c r="U315" t="s">
        <v>71</v>
      </c>
      <c r="V315" t="s">
        <v>79</v>
      </c>
      <c r="W315">
        <v>0</v>
      </c>
      <c r="X315">
        <v>0</v>
      </c>
      <c r="Y315">
        <v>48</v>
      </c>
      <c r="Z315">
        <v>63</v>
      </c>
      <c r="AA315">
        <v>70</v>
      </c>
      <c r="AB315">
        <v>2000</v>
      </c>
      <c r="AC315">
        <v>1862</v>
      </c>
      <c r="AD315">
        <v>1862</v>
      </c>
      <c r="AE315">
        <v>0</v>
      </c>
      <c r="AF315">
        <v>0</v>
      </c>
      <c r="AG315">
        <v>0</v>
      </c>
      <c r="AH315">
        <v>614</v>
      </c>
      <c r="AI315">
        <v>0</v>
      </c>
      <c r="AJ315">
        <v>0</v>
      </c>
      <c r="AK315">
        <v>0</v>
      </c>
      <c r="AL315">
        <v>440</v>
      </c>
      <c r="AM315">
        <v>0</v>
      </c>
      <c r="AN315">
        <v>260</v>
      </c>
      <c r="AO315">
        <v>454</v>
      </c>
      <c r="AP315">
        <v>5</v>
      </c>
      <c r="AQ315">
        <v>1</v>
      </c>
      <c r="AR315">
        <v>0</v>
      </c>
      <c r="AS315" t="s">
        <v>59</v>
      </c>
      <c r="AT315">
        <v>1</v>
      </c>
      <c r="AU315" t="s">
        <v>60</v>
      </c>
      <c r="AV315" t="s">
        <v>65</v>
      </c>
      <c r="AW315">
        <v>0</v>
      </c>
      <c r="AX315">
        <v>3</v>
      </c>
      <c r="AY315">
        <v>0</v>
      </c>
      <c r="AZ315">
        <v>4000</v>
      </c>
      <c r="BA315">
        <v>100</v>
      </c>
      <c r="BB315">
        <v>100</v>
      </c>
      <c r="BC315">
        <v>100</v>
      </c>
      <c r="BD315">
        <v>100</v>
      </c>
      <c r="BE315">
        <v>1</v>
      </c>
      <c r="BF315">
        <v>15000</v>
      </c>
      <c r="BG315">
        <v>1000</v>
      </c>
      <c r="BH315" s="8">
        <f>Granger_Inventory[[#This Row],[land_extract]]*Lookups!$B$3</f>
        <v>40879.912340035793</v>
      </c>
      <c r="BI315" s="8">
        <f>IF(Granger_Inventory[[#This Row],[bldg_style]]="",0,Lookups!$B$2)</f>
        <v>29703.559000000001</v>
      </c>
      <c r="BJ315" s="8">
        <f>_xlfn.IFNA(VLOOKUP(Granger_Inventory[[#This Row],[quality]],Lookups!$H$2:$J$14,3,FALSE),0)</f>
        <v>34195</v>
      </c>
      <c r="BK315" s="8">
        <f>_xlfn.IFNA(VLOOKUP(Granger_Inventory[[#This Row],[condition]],Lookups!$H$17:$J$24,3,FALSE),0)</f>
        <v>86727</v>
      </c>
      <c r="BL315" s="8">
        <f>Granger_Inventory[[#This Row],[Age]]*Lookups!$B$16</f>
        <v>-13061.8593</v>
      </c>
      <c r="BM315" s="8">
        <f>Granger_Inventory[[#This Row],[living_area]]*Lookups!$B$17</f>
        <v>125262.156558</v>
      </c>
      <c r="BN315" s="8">
        <f>(Granger_Inventory[[#This Row],[att_gar]]+Granger_Inventory[[#This Row],[blt_gar]])*Lookups!$B$18</f>
        <v>0</v>
      </c>
      <c r="BO315" s="8">
        <f>Granger_Inventory[[#This Row],[Patio]]*Lookups!$B$19</f>
        <v>0</v>
      </c>
      <c r="BP315" s="8">
        <f>SUM(Granger_Inventory[[#This Row],[Intercept]:[Patio_Value]])*Granger_Inventory[[#This Row],[res_pct]]</f>
        <v>262825.85625800001</v>
      </c>
      <c r="BQ315" s="8">
        <f>Granger_Inventory[[#This Row],[land_value]]</f>
        <v>40879.912340035793</v>
      </c>
      <c r="BR315" s="4">
        <f>_xlfn.IFNA(VLOOKUP(Granger_Inventory[[#This Row],[quality]],Lookups!$A$25:$C$35,3,FALSE),1)</f>
        <v>0.98258795897788032</v>
      </c>
      <c r="BS315" s="4">
        <f>_xlfn.IFNA(VLOOKUP(Granger_Inventory[[#This Row],[condition]],Lookups!$A$38:$C$45,3,FALSE),1)</f>
        <v>0.85322907131620684</v>
      </c>
      <c r="BT315" s="4">
        <f>IF(Granger_Inventory[[#This Row],[decade]]="",1,_xlfn.IFNA(VLOOKUP(Granger_Inventory[[#This Row],[decade]],Lookups!$G$28:$I$42,3,FALSE),1))</f>
        <v>1.0270382440255921</v>
      </c>
      <c r="BU315" s="4">
        <f>_xlfn.IFNA(VLOOKUP(Granger_Inventory[[#This Row],[living_area_range]],Lookups!$A$48:$C$57,3,FALSE),1)</f>
        <v>0.97860968051050168</v>
      </c>
      <c r="BV315" s="4">
        <f>AVERAGE(Granger_Inventory[[#This Row],[qual_adj]:[living_range_adj]])</f>
        <v>0.96036623870754534</v>
      </c>
      <c r="BW315" s="8">
        <f>(Granger_Inventory[[#This Row],[sum_land]]-IF(Granger_Inventory[[#This Row],[no_utilities]]=1,12000,0))/IF(Granger_Inventory[[#This Row],[unbuildable]]=1,2,1)</f>
        <v>40879.912340035793</v>
      </c>
      <c r="BX315" s="8">
        <f>Granger_Inventory[[#This Row],[pre_res]]*Granger_Inventory[[#This Row],[overall_adj]]</f>
        <v>252409.07900958543</v>
      </c>
      <c r="BY315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315">
        <f>ROUND(Granger_Inventory[[#This Row],[detatched_value]]*Lookups!$I$45,-2)</f>
        <v>3800</v>
      </c>
      <c r="CA315">
        <f>IF(ROUND(Granger_Inventory[[#This Row],[adj_res]]*Lookups!$I$45,-2)&lt;Granger_Inventory[[#This Row],[min_res]],Granger_Inventory[[#This Row],[min_res]],ROUND(Granger_Inventory[[#This Row],[adj_res]]*Lookups!$I$45,-2))</f>
        <v>239800</v>
      </c>
      <c r="CB315">
        <f>Granger_Inventory[[#This Row],[final_det]]+Granger_Inventory[[#This Row],[final_res]]</f>
        <v>243600</v>
      </c>
      <c r="CC315">
        <f>Granger_Inventory[[#This Row],[final_land]]+Granger_Inventory[[#This Row],[final_imp]]+Granger_Inventory[[#This Row],[crop_value]]</f>
        <v>282400</v>
      </c>
      <c r="CE315" t="str">
        <f t="shared" si="4"/>
        <v>update valuation set market_land =38800, market_bldg=243600, market_total =282400, market_mdno =402, market_date ='9/10/2023' where link_id = (select link_id from parcel where parcel_year = '2024' and parcel_id = '21102112433');</v>
      </c>
    </row>
    <row r="316" spans="1:83" x14ac:dyDescent="0.25">
      <c r="A316">
        <v>21102112434</v>
      </c>
      <c r="B316">
        <v>0.16</v>
      </c>
      <c r="C316" t="s">
        <v>137</v>
      </c>
      <c r="D316" t="s">
        <v>137</v>
      </c>
      <c r="E316" t="s">
        <v>54</v>
      </c>
      <c r="F316" t="s">
        <v>54</v>
      </c>
      <c r="G316">
        <v>3</v>
      </c>
      <c r="H316" t="s">
        <v>55</v>
      </c>
      <c r="I316">
        <v>77000</v>
      </c>
      <c r="J316">
        <v>26700</v>
      </c>
      <c r="K316">
        <v>0.16</v>
      </c>
      <c r="L31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16">
        <v>0</v>
      </c>
      <c r="N316">
        <v>0</v>
      </c>
      <c r="O316">
        <v>0</v>
      </c>
      <c r="P316">
        <v>47108.068500000001</v>
      </c>
      <c r="Q316">
        <v>122298</v>
      </c>
      <c r="R316">
        <f>(Granger_Inventory[[#This Row],[ln_acres]]*Granger_Inventory[[#This Row],[coeff]])+Granger_Inventory[[#This Row],[const]]</f>
        <v>35968.626873914327</v>
      </c>
      <c r="S316" t="s">
        <v>69</v>
      </c>
      <c r="T316">
        <v>1</v>
      </c>
      <c r="U316" t="s">
        <v>71</v>
      </c>
      <c r="V316" t="s">
        <v>77</v>
      </c>
      <c r="W316">
        <v>0</v>
      </c>
      <c r="X316">
        <v>0</v>
      </c>
      <c r="Y316">
        <v>50</v>
      </c>
      <c r="Z316">
        <v>73</v>
      </c>
      <c r="AA316">
        <v>80</v>
      </c>
      <c r="AB316">
        <v>1000</v>
      </c>
      <c r="AC316">
        <v>864</v>
      </c>
      <c r="AD316">
        <v>864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120</v>
      </c>
      <c r="AO316">
        <v>0</v>
      </c>
      <c r="AP316">
        <v>5</v>
      </c>
      <c r="AQ316">
        <v>0</v>
      </c>
      <c r="AR316">
        <v>0</v>
      </c>
      <c r="AS316" t="s">
        <v>59</v>
      </c>
      <c r="AT316">
        <v>1</v>
      </c>
      <c r="AU316" t="s">
        <v>60</v>
      </c>
      <c r="AV316" t="s">
        <v>61</v>
      </c>
      <c r="AW316">
        <v>0</v>
      </c>
      <c r="AX316">
        <v>2</v>
      </c>
      <c r="AY316">
        <v>0</v>
      </c>
      <c r="AZ316">
        <v>4400</v>
      </c>
      <c r="BA316">
        <v>100</v>
      </c>
      <c r="BB316">
        <v>100</v>
      </c>
      <c r="BC316">
        <v>100</v>
      </c>
      <c r="BD316">
        <v>100</v>
      </c>
      <c r="BE316">
        <v>1</v>
      </c>
      <c r="BF316">
        <v>15000</v>
      </c>
      <c r="BG316">
        <v>1000</v>
      </c>
      <c r="BH316" s="8">
        <f>Granger_Inventory[[#This Row],[land_extract]]*Lookups!$B$3</f>
        <v>21427.618862498482</v>
      </c>
      <c r="BI316" s="8">
        <f>IF(Granger_Inventory[[#This Row],[bldg_style]]="",0,Lookups!$B$2)</f>
        <v>29703.559000000001</v>
      </c>
      <c r="BJ316" s="8">
        <f>_xlfn.IFNA(VLOOKUP(Granger_Inventory[[#This Row],[quality]],Lookups!$H$2:$J$14,3,FALSE),0)</f>
        <v>34195</v>
      </c>
      <c r="BK316" s="8">
        <f>_xlfn.IFNA(VLOOKUP(Granger_Inventory[[#This Row],[condition]],Lookups!$H$17:$J$24,3,FALSE),0)</f>
        <v>33736</v>
      </c>
      <c r="BL316" s="8">
        <f>Granger_Inventory[[#This Row],[Age]]*Lookups!$B$16</f>
        <v>-15135.1703</v>
      </c>
      <c r="BM316" s="8">
        <f>Granger_Inventory[[#This Row],[living_area]]*Lookups!$B$17</f>
        <v>58123.793376000001</v>
      </c>
      <c r="BN316" s="8">
        <f>(Granger_Inventory[[#This Row],[att_gar]]+Granger_Inventory[[#This Row],[blt_gar]])*Lookups!$B$18</f>
        <v>0</v>
      </c>
      <c r="BO316" s="8">
        <f>Granger_Inventory[[#This Row],[Patio]]*Lookups!$B$19</f>
        <v>0</v>
      </c>
      <c r="BP316" s="8">
        <f>SUM(Granger_Inventory[[#This Row],[Intercept]:[Patio_Value]])*Granger_Inventory[[#This Row],[res_pct]]</f>
        <v>140623.18207600003</v>
      </c>
      <c r="BQ316" s="8">
        <f>Granger_Inventory[[#This Row],[land_value]]</f>
        <v>21427.618862498482</v>
      </c>
      <c r="BR316" s="4">
        <f>_xlfn.IFNA(VLOOKUP(Granger_Inventory[[#This Row],[quality]],Lookups!$A$25:$C$35,3,FALSE),1)</f>
        <v>0.98258795897788032</v>
      </c>
      <c r="BS316" s="4">
        <f>_xlfn.IFNA(VLOOKUP(Granger_Inventory[[#This Row],[condition]],Lookups!$A$38:$C$45,3,FALSE),1)</f>
        <v>0.92294678898076177</v>
      </c>
      <c r="BT316" s="4">
        <f>IF(Granger_Inventory[[#This Row],[decade]]="",1,_xlfn.IFNA(VLOOKUP(Granger_Inventory[[#This Row],[decade]],Lookups!$G$28:$I$42,3,FALSE),1))</f>
        <v>0.76006056002554967</v>
      </c>
      <c r="BU316" s="4">
        <f>_xlfn.IFNA(VLOOKUP(Granger_Inventory[[#This Row],[living_area_range]],Lookups!$A$48:$C$57,3,FALSE),1)</f>
        <v>0.81272404900450645</v>
      </c>
      <c r="BV316" s="4">
        <f>AVERAGE(Granger_Inventory[[#This Row],[qual_adj]:[living_range_adj]])</f>
        <v>0.86957983924717452</v>
      </c>
      <c r="BW316" s="8">
        <f>(Granger_Inventory[[#This Row],[sum_land]]-IF(Granger_Inventory[[#This Row],[no_utilities]]=1,12000,0))/IF(Granger_Inventory[[#This Row],[unbuildable]]=1,2,1)</f>
        <v>21427.618862498482</v>
      </c>
      <c r="BX316" s="8">
        <f>Granger_Inventory[[#This Row],[pre_res]]*Granger_Inventory[[#This Row],[overall_adj]]</f>
        <v>122283.08406407425</v>
      </c>
      <c r="BY31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16">
        <f>ROUND(Granger_Inventory[[#This Row],[detatched_value]]*Lookups!$I$45,-2)</f>
        <v>4200</v>
      </c>
      <c r="CA316">
        <f>IF(ROUND(Granger_Inventory[[#This Row],[adj_res]]*Lookups!$I$45,-2)&lt;Granger_Inventory[[#This Row],[min_res]],Granger_Inventory[[#This Row],[min_res]],ROUND(Granger_Inventory[[#This Row],[adj_res]]*Lookups!$I$45,-2))</f>
        <v>116200</v>
      </c>
      <c r="CB316">
        <f>Granger_Inventory[[#This Row],[final_det]]+Granger_Inventory[[#This Row],[final_res]]</f>
        <v>120400</v>
      </c>
      <c r="CC316">
        <f>Granger_Inventory[[#This Row],[final_land]]+Granger_Inventory[[#This Row],[final_imp]]+Granger_Inventory[[#This Row],[crop_value]]</f>
        <v>140800</v>
      </c>
      <c r="CE316" t="str">
        <f t="shared" si="4"/>
        <v>update valuation set market_land =20400, market_bldg=120400, market_total =140800, market_mdno =402, market_date ='9/10/2023' where link_id = (select link_id from parcel where parcel_year = '2024' and parcel_id = '21102112434');</v>
      </c>
    </row>
    <row r="317" spans="1:83" x14ac:dyDescent="0.25">
      <c r="A317">
        <v>21102112437</v>
      </c>
      <c r="B317">
        <v>0.24</v>
      </c>
      <c r="C317">
        <v>10646</v>
      </c>
      <c r="D317" t="s">
        <v>137</v>
      </c>
      <c r="E317" t="s">
        <v>54</v>
      </c>
      <c r="F317" t="s">
        <v>54</v>
      </c>
      <c r="G317">
        <v>3</v>
      </c>
      <c r="H317" t="s">
        <v>55</v>
      </c>
      <c r="I317">
        <v>231800</v>
      </c>
      <c r="J317">
        <v>29100</v>
      </c>
      <c r="K317">
        <v>0.24</v>
      </c>
      <c r="L317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17">
        <v>0</v>
      </c>
      <c r="N317">
        <v>0</v>
      </c>
      <c r="O317">
        <v>0</v>
      </c>
      <c r="P317">
        <v>47108.068500000001</v>
      </c>
      <c r="Q317">
        <v>122298</v>
      </c>
      <c r="R317">
        <f>(Granger_Inventory[[#This Row],[ln_acres]]*Granger_Inventory[[#This Row],[coeff]])+Granger_Inventory[[#This Row],[const]]</f>
        <v>55069.304961033646</v>
      </c>
      <c r="S317" t="s">
        <v>56</v>
      </c>
      <c r="T317">
        <v>1</v>
      </c>
      <c r="U317" t="s">
        <v>61</v>
      </c>
      <c r="V317" t="s">
        <v>77</v>
      </c>
      <c r="W317">
        <v>0</v>
      </c>
      <c r="X317">
        <v>0</v>
      </c>
      <c r="Y317">
        <v>47</v>
      </c>
      <c r="Z317">
        <v>58</v>
      </c>
      <c r="AA317">
        <v>60</v>
      </c>
      <c r="AB317">
        <v>1500</v>
      </c>
      <c r="AC317">
        <v>1373</v>
      </c>
      <c r="AD317">
        <v>1373</v>
      </c>
      <c r="AE317">
        <v>0</v>
      </c>
      <c r="AF317">
        <v>0</v>
      </c>
      <c r="AG317">
        <v>0</v>
      </c>
      <c r="AH317">
        <v>0</v>
      </c>
      <c r="AI317">
        <v>800</v>
      </c>
      <c r="AJ317">
        <v>0</v>
      </c>
      <c r="AK317">
        <v>0</v>
      </c>
      <c r="AL317">
        <v>0</v>
      </c>
      <c r="AM317">
        <v>68</v>
      </c>
      <c r="AN317">
        <v>33</v>
      </c>
      <c r="AO317">
        <v>0</v>
      </c>
      <c r="AP317">
        <v>8</v>
      </c>
      <c r="AQ317">
        <v>0</v>
      </c>
      <c r="AR317">
        <v>1</v>
      </c>
      <c r="AS317" t="s">
        <v>59</v>
      </c>
      <c r="AT317">
        <v>1</v>
      </c>
      <c r="AU317" t="s">
        <v>67</v>
      </c>
      <c r="AV317" t="s">
        <v>65</v>
      </c>
      <c r="AW317">
        <v>1</v>
      </c>
      <c r="AX317">
        <v>3</v>
      </c>
      <c r="AY317">
        <v>0</v>
      </c>
      <c r="AZ317">
        <v>0</v>
      </c>
      <c r="BA317">
        <v>100</v>
      </c>
      <c r="BB317">
        <v>100</v>
      </c>
      <c r="BC317">
        <v>100</v>
      </c>
      <c r="BD317">
        <v>100</v>
      </c>
      <c r="BE317">
        <v>1</v>
      </c>
      <c r="BF317">
        <v>15000</v>
      </c>
      <c r="BG317">
        <v>1000</v>
      </c>
      <c r="BH317" s="8">
        <f>Granger_Inventory[[#This Row],[land_extract]]*Lookups!$B$3</f>
        <v>32806.481099880541</v>
      </c>
      <c r="BI317" s="8">
        <f>IF(Granger_Inventory[[#This Row],[bldg_style]]="",0,Lookups!$B$2)</f>
        <v>29703.559000000001</v>
      </c>
      <c r="BJ317" s="8">
        <f>_xlfn.IFNA(VLOOKUP(Granger_Inventory[[#This Row],[quality]],Lookups!$H$2:$J$14,3,FALSE),0)</f>
        <v>71767</v>
      </c>
      <c r="BK317" s="8">
        <f>_xlfn.IFNA(VLOOKUP(Granger_Inventory[[#This Row],[condition]],Lookups!$H$17:$J$24,3,FALSE),0)</f>
        <v>33736</v>
      </c>
      <c r="BL317" s="8">
        <f>Granger_Inventory[[#This Row],[Age]]*Lookups!$B$16</f>
        <v>-12025.203799999999</v>
      </c>
      <c r="BM317" s="8">
        <f>Granger_Inventory[[#This Row],[living_area]]*Lookups!$B$17</f>
        <v>92365.704056999995</v>
      </c>
      <c r="BN317" s="8">
        <f>(Granger_Inventory[[#This Row],[att_gar]]+Granger_Inventory[[#This Row],[blt_gar]])*Lookups!$B$18</f>
        <v>38758.068800000001</v>
      </c>
      <c r="BO317" s="8">
        <f>Granger_Inventory[[#This Row],[Patio]]*Lookups!$B$19</f>
        <v>3693.426528</v>
      </c>
      <c r="BP317" s="8">
        <f>SUM(Granger_Inventory[[#This Row],[Intercept]:[Patio_Value]])*Granger_Inventory[[#This Row],[res_pct]]</f>
        <v>257998.55458500001</v>
      </c>
      <c r="BQ317" s="8">
        <f>Granger_Inventory[[#This Row],[land_value]]</f>
        <v>32806.481099880541</v>
      </c>
      <c r="BR317" s="4">
        <f>_xlfn.IFNA(VLOOKUP(Granger_Inventory[[#This Row],[quality]],Lookups!$A$25:$C$35,3,FALSE),1)</f>
        <v>0.992092799099482</v>
      </c>
      <c r="BS317" s="4">
        <f>_xlfn.IFNA(VLOOKUP(Granger_Inventory[[#This Row],[condition]],Lookups!$A$38:$C$45,3,FALSE),1)</f>
        <v>0.92294678898076177</v>
      </c>
      <c r="BT317" s="4">
        <f>IF(Granger_Inventory[[#This Row],[decade]]="",1,_xlfn.IFNA(VLOOKUP(Granger_Inventory[[#This Row],[decade]],Lookups!$G$28:$I$42,3,FALSE),1))</f>
        <v>0.86581421791274704</v>
      </c>
      <c r="BU317" s="4">
        <f>_xlfn.IFNA(VLOOKUP(Granger_Inventory[[#This Row],[living_area_range]],Lookups!$A$48:$C$57,3,FALSE),1)</f>
        <v>0.97960506760539345</v>
      </c>
      <c r="BV317" s="4">
        <f>AVERAGE(Granger_Inventory[[#This Row],[qual_adj]:[living_range_adj]])</f>
        <v>0.94011471839959615</v>
      </c>
      <c r="BW317" s="8">
        <f>(Granger_Inventory[[#This Row],[sum_land]]-IF(Granger_Inventory[[#This Row],[no_utilities]]=1,12000,0))/IF(Granger_Inventory[[#This Row],[unbuildable]]=1,2,1)</f>
        <v>32806.481099880541</v>
      </c>
      <c r="BX317" s="8">
        <f>Granger_Inventory[[#This Row],[pre_res]]*Granger_Inventory[[#This Row],[overall_adj]]</f>
        <v>242548.23849118012</v>
      </c>
      <c r="BY317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17">
        <f>ROUND(Granger_Inventory[[#This Row],[detatched_value]]*Lookups!$I$45,-2)</f>
        <v>0</v>
      </c>
      <c r="CA317">
        <f>IF(ROUND(Granger_Inventory[[#This Row],[adj_res]]*Lookups!$I$45,-2)&lt;Granger_Inventory[[#This Row],[min_res]],Granger_Inventory[[#This Row],[min_res]],ROUND(Granger_Inventory[[#This Row],[adj_res]]*Lookups!$I$45,-2))</f>
        <v>230400</v>
      </c>
      <c r="CB317">
        <f>Granger_Inventory[[#This Row],[final_det]]+Granger_Inventory[[#This Row],[final_res]]</f>
        <v>230400</v>
      </c>
      <c r="CC317">
        <f>Granger_Inventory[[#This Row],[final_land]]+Granger_Inventory[[#This Row],[final_imp]]+Granger_Inventory[[#This Row],[crop_value]]</f>
        <v>261600</v>
      </c>
      <c r="CE317" t="str">
        <f t="shared" si="4"/>
        <v>update valuation set market_land =31200, market_bldg=230400, market_total =261600, market_mdno =402, market_date ='9/10/2023' where link_id = (select link_id from parcel where parcel_year = '2024' and parcel_id = '21102112437');</v>
      </c>
    </row>
    <row r="318" spans="1:83" x14ac:dyDescent="0.25">
      <c r="A318">
        <v>21102112450</v>
      </c>
      <c r="B318">
        <v>0.37</v>
      </c>
      <c r="C318">
        <v>16080</v>
      </c>
      <c r="D318" t="s">
        <v>137</v>
      </c>
      <c r="E318" t="s">
        <v>54</v>
      </c>
      <c r="F318" t="s">
        <v>54</v>
      </c>
      <c r="G318">
        <v>3</v>
      </c>
      <c r="H318" t="s">
        <v>55</v>
      </c>
      <c r="I318">
        <v>277700</v>
      </c>
      <c r="J318">
        <v>31700</v>
      </c>
      <c r="K318">
        <v>0.37</v>
      </c>
      <c r="L318">
        <f>IF(Granger_Inventory[[#This Row],[parcel_acres]]-Granger_Inventory[[#This Row],[non_valued_acres]] =0,0,LN(Granger_Inventory[[#This Row],[parcel_acres]]-Granger_Inventory[[#This Row],[non_valued_acres]]))</f>
        <v>-0.9942522733438669</v>
      </c>
      <c r="M318">
        <v>0</v>
      </c>
      <c r="N318">
        <v>0</v>
      </c>
      <c r="O318">
        <v>0</v>
      </c>
      <c r="P318">
        <v>47108.068500000001</v>
      </c>
      <c r="Q318">
        <v>122298</v>
      </c>
      <c r="R318">
        <f>(Granger_Inventory[[#This Row],[ln_acres]]*Granger_Inventory[[#This Row],[coeff]])+Granger_Inventory[[#This Row],[const]]</f>
        <v>75460.695801036403</v>
      </c>
      <c r="S318" t="s">
        <v>62</v>
      </c>
      <c r="T318">
        <v>2</v>
      </c>
      <c r="U318" t="s">
        <v>71</v>
      </c>
      <c r="V318" t="s">
        <v>77</v>
      </c>
      <c r="W318">
        <v>0</v>
      </c>
      <c r="X318">
        <v>0</v>
      </c>
      <c r="Y318">
        <v>53</v>
      </c>
      <c r="Z318">
        <v>93</v>
      </c>
      <c r="AA318">
        <v>100</v>
      </c>
      <c r="AB318">
        <v>3000</v>
      </c>
      <c r="AC318">
        <v>2714</v>
      </c>
      <c r="AD318">
        <v>1688</v>
      </c>
      <c r="AE318">
        <v>1026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684</v>
      </c>
      <c r="AN318">
        <v>376</v>
      </c>
      <c r="AO318">
        <v>360</v>
      </c>
      <c r="AP318">
        <v>11</v>
      </c>
      <c r="AQ318">
        <v>0</v>
      </c>
      <c r="AR318">
        <v>0</v>
      </c>
      <c r="AS318" t="s">
        <v>59</v>
      </c>
      <c r="AT318">
        <v>1</v>
      </c>
      <c r="AU318" t="s">
        <v>60</v>
      </c>
      <c r="AV318" t="s">
        <v>61</v>
      </c>
      <c r="AW318">
        <v>1</v>
      </c>
      <c r="AX318">
        <v>3</v>
      </c>
      <c r="AY318">
        <v>0</v>
      </c>
      <c r="AZ318">
        <v>37800</v>
      </c>
      <c r="BA318">
        <v>100</v>
      </c>
      <c r="BB318">
        <v>100</v>
      </c>
      <c r="BC318">
        <v>100</v>
      </c>
      <c r="BD318">
        <v>100</v>
      </c>
      <c r="BE318">
        <v>1</v>
      </c>
      <c r="BF318">
        <v>15000</v>
      </c>
      <c r="BG318">
        <v>1000</v>
      </c>
      <c r="BH318" s="8">
        <f>Granger_Inventory[[#This Row],[land_extract]]*Lookups!$B$3</f>
        <v>44954.260678108061</v>
      </c>
      <c r="BI318" s="8">
        <f>IF(Granger_Inventory[[#This Row],[bldg_style]]="",0,Lookups!$B$2)</f>
        <v>29703.559000000001</v>
      </c>
      <c r="BJ318" s="8">
        <f>_xlfn.IFNA(VLOOKUP(Granger_Inventory[[#This Row],[quality]],Lookups!$H$2:$J$14,3,FALSE),0)</f>
        <v>34195</v>
      </c>
      <c r="BK318" s="8">
        <f>_xlfn.IFNA(VLOOKUP(Granger_Inventory[[#This Row],[condition]],Lookups!$H$17:$J$24,3,FALSE),0)</f>
        <v>33736</v>
      </c>
      <c r="BL318" s="8">
        <f>Granger_Inventory[[#This Row],[Age]]*Lookups!$B$16</f>
        <v>-19281.792300000001</v>
      </c>
      <c r="BM318" s="8">
        <f>Granger_Inventory[[#This Row],[living_area]]*Lookups!$B$17</f>
        <v>182578.67502599998</v>
      </c>
      <c r="BN318" s="8">
        <f>(Granger_Inventory[[#This Row],[att_gar]]+Granger_Inventory[[#This Row],[blt_gar]])*Lookups!$B$18</f>
        <v>0</v>
      </c>
      <c r="BO318" s="8">
        <f>Granger_Inventory[[#This Row],[Patio]]*Lookups!$B$19</f>
        <v>37151.525664000001</v>
      </c>
      <c r="BP318" s="8">
        <f>SUM(Granger_Inventory[[#This Row],[Intercept]:[Patio_Value]])*Granger_Inventory[[#This Row],[res_pct]]</f>
        <v>298082.96739000001</v>
      </c>
      <c r="BQ318" s="8">
        <f>Granger_Inventory[[#This Row],[land_value]]</f>
        <v>44954.260678108061</v>
      </c>
      <c r="BR318" s="4">
        <f>_xlfn.IFNA(VLOOKUP(Granger_Inventory[[#This Row],[quality]],Lookups!$A$25:$C$35,3,FALSE),1)</f>
        <v>0.98258795897788032</v>
      </c>
      <c r="BS318" s="4">
        <f>_xlfn.IFNA(VLOOKUP(Granger_Inventory[[#This Row],[condition]],Lookups!$A$38:$C$45,3,FALSE),1)</f>
        <v>0.92294678898076177</v>
      </c>
      <c r="BT318" s="4">
        <f>IF(Granger_Inventory[[#This Row],[decade]]="",1,_xlfn.IFNA(VLOOKUP(Granger_Inventory[[#This Row],[decade]],Lookups!$G$28:$I$42,3,FALSE),1))</f>
        <v>0.879441629375324</v>
      </c>
      <c r="BU318" s="4">
        <f>_xlfn.IFNA(VLOOKUP(Granger_Inventory[[#This Row],[living_area_range]],Lookups!$A$48:$C$57,3,FALSE),1)</f>
        <v>0.99995754169072248</v>
      </c>
      <c r="BV318" s="4">
        <f>AVERAGE(Granger_Inventory[[#This Row],[qual_adj]:[living_range_adj]])</f>
        <v>0.94623347975617222</v>
      </c>
      <c r="BW318" s="8">
        <f>(Granger_Inventory[[#This Row],[sum_land]]-IF(Granger_Inventory[[#This Row],[no_utilities]]=1,12000,0))/IF(Granger_Inventory[[#This Row],[unbuildable]]=1,2,1)</f>
        <v>44954.260678108061</v>
      </c>
      <c r="BX318" s="8">
        <f>Granger_Inventory[[#This Row],[pre_res]]*Granger_Inventory[[#This Row],[overall_adj]]</f>
        <v>282056.08348948532</v>
      </c>
      <c r="BY318">
        <f>IF(ROUND(Granger_Inventory[[#This Row],[adj_land]]*Lookups!$I$45,-2)&lt;Granger_Inventory[[#This Row],[min_land]],Granger_Inventory[[#This Row],[min_land]],ROUND(Granger_Inventory[[#This Row],[adj_land]]*Lookups!$I$45,-2))</f>
        <v>42700</v>
      </c>
      <c r="BZ318">
        <f>ROUND(Granger_Inventory[[#This Row],[detatched_value]]*Lookups!$I$45,-2)</f>
        <v>35900</v>
      </c>
      <c r="CA318">
        <f>IF(ROUND(Granger_Inventory[[#This Row],[adj_res]]*Lookups!$I$45,-2)&lt;Granger_Inventory[[#This Row],[min_res]],Granger_Inventory[[#This Row],[min_res]],ROUND(Granger_Inventory[[#This Row],[adj_res]]*Lookups!$I$45,-2))</f>
        <v>268000</v>
      </c>
      <c r="CB318">
        <f>Granger_Inventory[[#This Row],[final_det]]+Granger_Inventory[[#This Row],[final_res]]</f>
        <v>303900</v>
      </c>
      <c r="CC318">
        <f>Granger_Inventory[[#This Row],[final_land]]+Granger_Inventory[[#This Row],[final_imp]]+Granger_Inventory[[#This Row],[crop_value]]</f>
        <v>346600</v>
      </c>
      <c r="CE318" t="str">
        <f t="shared" si="4"/>
        <v>update valuation set market_land =42700, market_bldg=303900, market_total =346600, market_mdno =402, market_date ='9/10/2023' where link_id = (select link_id from parcel where parcel_year = '2024' and parcel_id = '21102112450');</v>
      </c>
    </row>
    <row r="319" spans="1:83" x14ac:dyDescent="0.25">
      <c r="A319">
        <v>21102112453</v>
      </c>
      <c r="B319">
        <v>0.15</v>
      </c>
      <c r="C319">
        <v>6652</v>
      </c>
      <c r="D319" t="s">
        <v>137</v>
      </c>
      <c r="E319" t="s">
        <v>54</v>
      </c>
      <c r="F319" t="s">
        <v>54</v>
      </c>
      <c r="G319">
        <v>3</v>
      </c>
      <c r="H319" t="s">
        <v>55</v>
      </c>
      <c r="I319">
        <v>104500</v>
      </c>
      <c r="J319">
        <v>26300</v>
      </c>
      <c r="K319">
        <v>0.15</v>
      </c>
      <c r="L31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19">
        <v>0</v>
      </c>
      <c r="N319">
        <v>0</v>
      </c>
      <c r="O319">
        <v>0</v>
      </c>
      <c r="P319">
        <v>47108.068500000001</v>
      </c>
      <c r="Q319">
        <v>122298</v>
      </c>
      <c r="R319">
        <f>(Granger_Inventory[[#This Row],[ln_acres]]*Granger_Inventory[[#This Row],[coeff]])+Granger_Inventory[[#This Row],[const]]</f>
        <v>32928.341799276939</v>
      </c>
      <c r="S319" t="s">
        <v>69</v>
      </c>
      <c r="T319">
        <v>1</v>
      </c>
      <c r="U319" t="s">
        <v>106</v>
      </c>
      <c r="V319" t="s">
        <v>77</v>
      </c>
      <c r="W319">
        <v>0</v>
      </c>
      <c r="X319">
        <v>0</v>
      </c>
      <c r="Y319">
        <v>53</v>
      </c>
      <c r="Z319">
        <v>93</v>
      </c>
      <c r="AA319">
        <v>100</v>
      </c>
      <c r="AB319">
        <v>1000</v>
      </c>
      <c r="AC319">
        <v>800</v>
      </c>
      <c r="AD319">
        <v>800</v>
      </c>
      <c r="AE319">
        <v>0</v>
      </c>
      <c r="AF319">
        <v>0</v>
      </c>
      <c r="AG319">
        <v>0</v>
      </c>
      <c r="AH319">
        <v>0</v>
      </c>
      <c r="AI319">
        <v>220</v>
      </c>
      <c r="AJ319">
        <v>0</v>
      </c>
      <c r="AK319">
        <v>0</v>
      </c>
      <c r="AL319">
        <v>0</v>
      </c>
      <c r="AM319">
        <v>0</v>
      </c>
      <c r="AN319">
        <v>128</v>
      </c>
      <c r="AO319">
        <v>0</v>
      </c>
      <c r="AP319">
        <v>5</v>
      </c>
      <c r="AQ319">
        <v>0</v>
      </c>
      <c r="AR319">
        <v>0</v>
      </c>
      <c r="AS319" t="s">
        <v>59</v>
      </c>
      <c r="AT319">
        <v>1</v>
      </c>
      <c r="AU319" t="s">
        <v>76</v>
      </c>
      <c r="AV319" t="s">
        <v>65</v>
      </c>
      <c r="AW319">
        <v>0</v>
      </c>
      <c r="AX319">
        <v>4</v>
      </c>
      <c r="AY319">
        <v>0</v>
      </c>
      <c r="AZ319">
        <v>0</v>
      </c>
      <c r="BA319">
        <v>100</v>
      </c>
      <c r="BB319">
        <v>100</v>
      </c>
      <c r="BC319">
        <v>100</v>
      </c>
      <c r="BD319">
        <v>100</v>
      </c>
      <c r="BE319">
        <v>1</v>
      </c>
      <c r="BF319">
        <v>15000</v>
      </c>
      <c r="BG319">
        <v>1000</v>
      </c>
      <c r="BH319" s="8">
        <f>Granger_Inventory[[#This Row],[land_extract]]*Lookups!$B$3</f>
        <v>19616.42740275669</v>
      </c>
      <c r="BI319" s="8">
        <f>IF(Granger_Inventory[[#This Row],[bldg_style]]="",0,Lookups!$B$2)</f>
        <v>29703.559000000001</v>
      </c>
      <c r="BJ319" s="8">
        <f>_xlfn.IFNA(VLOOKUP(Granger_Inventory[[#This Row],[quality]],Lookups!$H$2:$J$14,3,FALSE),0)</f>
        <v>17985.540667792327</v>
      </c>
      <c r="BK319" s="8">
        <f>_xlfn.IFNA(VLOOKUP(Granger_Inventory[[#This Row],[condition]],Lookups!$H$17:$J$24,3,FALSE),0)</f>
        <v>33736</v>
      </c>
      <c r="BL319" s="8">
        <f>Granger_Inventory[[#This Row],[Age]]*Lookups!$B$16</f>
        <v>-19281.792300000001</v>
      </c>
      <c r="BM319" s="8">
        <f>Granger_Inventory[[#This Row],[living_area]]*Lookups!$B$17</f>
        <v>53818.3272</v>
      </c>
      <c r="BN319" s="8">
        <f>(Granger_Inventory[[#This Row],[att_gar]]+Granger_Inventory[[#This Row],[blt_gar]])*Lookups!$B$18</f>
        <v>10658.468919999999</v>
      </c>
      <c r="BO319" s="8">
        <f>Granger_Inventory[[#This Row],[Patio]]*Lookups!$B$19</f>
        <v>0</v>
      </c>
      <c r="BP319" s="8">
        <f>SUM(Granger_Inventory[[#This Row],[Intercept]:[Patio_Value]])*Granger_Inventory[[#This Row],[res_pct]]</f>
        <v>126620.10348779232</v>
      </c>
      <c r="BQ319" s="8">
        <f>Granger_Inventory[[#This Row],[land_value]]</f>
        <v>19616.42740275669</v>
      </c>
      <c r="BR319" s="4">
        <f>_xlfn.IFNA(VLOOKUP(Granger_Inventory[[#This Row],[quality]],Lookups!$A$25:$C$35,3,FALSE),1)</f>
        <v>0.77695375541795109</v>
      </c>
      <c r="BS319" s="4">
        <f>_xlfn.IFNA(VLOOKUP(Granger_Inventory[[#This Row],[condition]],Lookups!$A$38:$C$45,3,FALSE),1)</f>
        <v>0.92294678898076177</v>
      </c>
      <c r="BT319" s="4">
        <f>IF(Granger_Inventory[[#This Row],[decade]]="",1,_xlfn.IFNA(VLOOKUP(Granger_Inventory[[#This Row],[decade]],Lookups!$G$28:$I$42,3,FALSE),1))</f>
        <v>0.879441629375324</v>
      </c>
      <c r="BU319" s="4">
        <f>_xlfn.IFNA(VLOOKUP(Granger_Inventory[[#This Row],[living_area_range]],Lookups!$A$48:$C$57,3,FALSE),1)</f>
        <v>0.81272404900450645</v>
      </c>
      <c r="BV319" s="4">
        <f>AVERAGE(Granger_Inventory[[#This Row],[qual_adj]:[living_range_adj]])</f>
        <v>0.84801655569463574</v>
      </c>
      <c r="BW319" s="8">
        <f>(Granger_Inventory[[#This Row],[sum_land]]-IF(Granger_Inventory[[#This Row],[no_utilities]]=1,12000,0))/IF(Granger_Inventory[[#This Row],[unbuildable]]=1,2,1)</f>
        <v>19616.42740275669</v>
      </c>
      <c r="BX319" s="8">
        <f>Granger_Inventory[[#This Row],[pre_res]]*Granger_Inventory[[#This Row],[overall_adj]]</f>
        <v>107375.94404141598</v>
      </c>
      <c r="BY31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19">
        <f>ROUND(Granger_Inventory[[#This Row],[detatched_value]]*Lookups!$I$45,-2)</f>
        <v>0</v>
      </c>
      <c r="CA319">
        <f>IF(ROUND(Granger_Inventory[[#This Row],[adj_res]]*Lookups!$I$45,-2)&lt;Granger_Inventory[[#This Row],[min_res]],Granger_Inventory[[#This Row],[min_res]],ROUND(Granger_Inventory[[#This Row],[adj_res]]*Lookups!$I$45,-2))</f>
        <v>102000</v>
      </c>
      <c r="CB319">
        <f>Granger_Inventory[[#This Row],[final_det]]+Granger_Inventory[[#This Row],[final_res]]</f>
        <v>102000</v>
      </c>
      <c r="CC319">
        <f>Granger_Inventory[[#This Row],[final_land]]+Granger_Inventory[[#This Row],[final_imp]]+Granger_Inventory[[#This Row],[crop_value]]</f>
        <v>120600</v>
      </c>
      <c r="CE319" t="str">
        <f t="shared" si="4"/>
        <v>update valuation set market_land =18600, market_bldg=102000, market_total =120600, market_mdno =402, market_date ='9/10/2023' where link_id = (select link_id from parcel where parcel_year = '2024' and parcel_id = '21102112453');</v>
      </c>
    </row>
    <row r="320" spans="1:83" x14ac:dyDescent="0.25">
      <c r="A320">
        <v>21102112454</v>
      </c>
      <c r="B320">
        <v>0.19</v>
      </c>
      <c r="C320" t="s">
        <v>137</v>
      </c>
      <c r="D320" t="s">
        <v>137</v>
      </c>
      <c r="E320" t="s">
        <v>54</v>
      </c>
      <c r="F320" t="s">
        <v>54</v>
      </c>
      <c r="G320">
        <v>3</v>
      </c>
      <c r="H320" t="s">
        <v>55</v>
      </c>
      <c r="I320">
        <v>175300</v>
      </c>
      <c r="J320">
        <v>27700</v>
      </c>
      <c r="K320">
        <v>0.19</v>
      </c>
      <c r="L32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20">
        <v>0</v>
      </c>
      <c r="N320">
        <v>0</v>
      </c>
      <c r="O320">
        <v>0</v>
      </c>
      <c r="P320">
        <v>47108.068500000001</v>
      </c>
      <c r="Q320">
        <v>122298</v>
      </c>
      <c r="R320">
        <f>(Granger_Inventory[[#This Row],[ln_acres]]*Granger_Inventory[[#This Row],[coeff]])+Granger_Inventory[[#This Row],[const]]</f>
        <v>44064.160548957996</v>
      </c>
      <c r="S320" t="s">
        <v>56</v>
      </c>
      <c r="T320">
        <v>1</v>
      </c>
      <c r="U320" t="s">
        <v>71</v>
      </c>
      <c r="V320" t="s">
        <v>72</v>
      </c>
      <c r="W320">
        <v>0</v>
      </c>
      <c r="X320">
        <v>0</v>
      </c>
      <c r="Y320">
        <v>48</v>
      </c>
      <c r="Z320">
        <v>63</v>
      </c>
      <c r="AA320">
        <v>70</v>
      </c>
      <c r="AB320">
        <v>1500</v>
      </c>
      <c r="AC320">
        <v>1416</v>
      </c>
      <c r="AD320">
        <v>1416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120</v>
      </c>
      <c r="AN320">
        <v>0</v>
      </c>
      <c r="AO320">
        <v>198</v>
      </c>
      <c r="AP320">
        <v>5</v>
      </c>
      <c r="AQ320">
        <v>1</v>
      </c>
      <c r="AR320">
        <v>0</v>
      </c>
      <c r="AS320" t="s">
        <v>59</v>
      </c>
      <c r="AT320">
        <v>1</v>
      </c>
      <c r="AU320" t="s">
        <v>60</v>
      </c>
      <c r="AV320" t="s">
        <v>61</v>
      </c>
      <c r="AW320">
        <v>1</v>
      </c>
      <c r="AX320">
        <v>3</v>
      </c>
      <c r="AY320">
        <v>0</v>
      </c>
      <c r="AZ320">
        <v>0</v>
      </c>
      <c r="BA320">
        <v>100</v>
      </c>
      <c r="BB320">
        <v>100</v>
      </c>
      <c r="BC320">
        <v>100</v>
      </c>
      <c r="BD320">
        <v>100</v>
      </c>
      <c r="BE320">
        <v>1</v>
      </c>
      <c r="BF320">
        <v>15000</v>
      </c>
      <c r="BG320">
        <v>1000</v>
      </c>
      <c r="BH320" s="8">
        <f>Granger_Inventory[[#This Row],[land_extract]]*Lookups!$B$3</f>
        <v>26250.377615159185</v>
      </c>
      <c r="BI320" s="8">
        <f>IF(Granger_Inventory[[#This Row],[bldg_style]]="",0,Lookups!$B$2)</f>
        <v>29703.559000000001</v>
      </c>
      <c r="BJ320" s="8">
        <f>_xlfn.IFNA(VLOOKUP(Granger_Inventory[[#This Row],[quality]],Lookups!$H$2:$J$14,3,FALSE),0)</f>
        <v>34195</v>
      </c>
      <c r="BK320" s="8">
        <f>_xlfn.IFNA(VLOOKUP(Granger_Inventory[[#This Row],[condition]],Lookups!$H$17:$J$24,3,FALSE),0)</f>
        <v>94106</v>
      </c>
      <c r="BL320" s="8">
        <f>Granger_Inventory[[#This Row],[Age]]*Lookups!$B$16</f>
        <v>-13061.8593</v>
      </c>
      <c r="BM320" s="8">
        <f>Granger_Inventory[[#This Row],[living_area]]*Lookups!$B$17</f>
        <v>95258.439144000004</v>
      </c>
      <c r="BN320" s="8">
        <f>(Granger_Inventory[[#This Row],[att_gar]]+Granger_Inventory[[#This Row],[blt_gar]])*Lookups!$B$18</f>
        <v>0</v>
      </c>
      <c r="BO320" s="8">
        <f>Granger_Inventory[[#This Row],[Patio]]*Lookups!$B$19</f>
        <v>6517.8115199999993</v>
      </c>
      <c r="BP320" s="8">
        <f>SUM(Granger_Inventory[[#This Row],[Intercept]:[Patio_Value]])*Granger_Inventory[[#This Row],[res_pct]]</f>
        <v>246718.95036399999</v>
      </c>
      <c r="BQ320" s="8">
        <f>Granger_Inventory[[#This Row],[land_value]]</f>
        <v>26250.377615159185</v>
      </c>
      <c r="BR320" s="4">
        <f>_xlfn.IFNA(VLOOKUP(Granger_Inventory[[#This Row],[quality]],Lookups!$A$25:$C$35,3,FALSE),1)</f>
        <v>0.98258795897788032</v>
      </c>
      <c r="BS320" s="4">
        <f>_xlfn.IFNA(VLOOKUP(Granger_Inventory[[#This Row],[condition]],Lookups!$A$38:$C$45,3,FALSE),1)</f>
        <v>0.98658583151544277</v>
      </c>
      <c r="BT320" s="4">
        <f>IF(Granger_Inventory[[#This Row],[decade]]="",1,_xlfn.IFNA(VLOOKUP(Granger_Inventory[[#This Row],[decade]],Lookups!$G$28:$I$42,3,FALSE),1))</f>
        <v>1.0270382440255921</v>
      </c>
      <c r="BU320" s="4">
        <f>_xlfn.IFNA(VLOOKUP(Granger_Inventory[[#This Row],[living_area_range]],Lookups!$A$48:$C$57,3,FALSE),1)</f>
        <v>0.97960506760539345</v>
      </c>
      <c r="BV320" s="4">
        <f>AVERAGE(Granger_Inventory[[#This Row],[qual_adj]:[living_range_adj]])</f>
        <v>0.99395427553107718</v>
      </c>
      <c r="BW320" s="8">
        <f>(Granger_Inventory[[#This Row],[sum_land]]-IF(Granger_Inventory[[#This Row],[no_utilities]]=1,12000,0))/IF(Granger_Inventory[[#This Row],[unbuildable]]=1,2,1)</f>
        <v>26250.377615159185</v>
      </c>
      <c r="BX320" s="8">
        <f>Granger_Inventory[[#This Row],[pre_res]]*Granger_Inventory[[#This Row],[overall_adj]]</f>
        <v>245227.3555688374</v>
      </c>
      <c r="BY32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20">
        <f>ROUND(Granger_Inventory[[#This Row],[detatched_value]]*Lookups!$I$45,-2)</f>
        <v>0</v>
      </c>
      <c r="CA320">
        <f>IF(ROUND(Granger_Inventory[[#This Row],[adj_res]]*Lookups!$I$45,-2)&lt;Granger_Inventory[[#This Row],[min_res]],Granger_Inventory[[#This Row],[min_res]],ROUND(Granger_Inventory[[#This Row],[adj_res]]*Lookups!$I$45,-2))</f>
        <v>233000</v>
      </c>
      <c r="CB320">
        <f>Granger_Inventory[[#This Row],[final_det]]+Granger_Inventory[[#This Row],[final_res]]</f>
        <v>233000</v>
      </c>
      <c r="CC320">
        <f>Granger_Inventory[[#This Row],[final_land]]+Granger_Inventory[[#This Row],[final_imp]]+Granger_Inventory[[#This Row],[crop_value]]</f>
        <v>257900</v>
      </c>
      <c r="CE320" t="str">
        <f t="shared" si="4"/>
        <v>update valuation set market_land =24900, market_bldg=233000, market_total =257900, market_mdno =402, market_date ='9/10/2023' where link_id = (select link_id from parcel where parcel_year = '2024' and parcel_id = '21102112454');</v>
      </c>
    </row>
    <row r="321" spans="1:83" x14ac:dyDescent="0.25">
      <c r="A321">
        <v>21102112456</v>
      </c>
      <c r="B321">
        <v>0.24</v>
      </c>
      <c r="C321" t="s">
        <v>137</v>
      </c>
      <c r="D321" t="s">
        <v>137</v>
      </c>
      <c r="E321" t="s">
        <v>54</v>
      </c>
      <c r="F321" t="s">
        <v>54</v>
      </c>
      <c r="G321">
        <v>3</v>
      </c>
      <c r="H321" t="s">
        <v>55</v>
      </c>
      <c r="I321">
        <v>122100</v>
      </c>
      <c r="J321">
        <v>29100</v>
      </c>
      <c r="K321">
        <v>0.24</v>
      </c>
      <c r="L321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21">
        <v>0</v>
      </c>
      <c r="N321">
        <v>0</v>
      </c>
      <c r="O321">
        <v>0</v>
      </c>
      <c r="P321">
        <v>47108.068500000001</v>
      </c>
      <c r="Q321">
        <v>122298</v>
      </c>
      <c r="R321">
        <f>(Granger_Inventory[[#This Row],[ln_acres]]*Granger_Inventory[[#This Row],[coeff]])+Granger_Inventory[[#This Row],[const]]</f>
        <v>55069.304961033646</v>
      </c>
      <c r="S321" t="s">
        <v>56</v>
      </c>
      <c r="T321">
        <v>1</v>
      </c>
      <c r="U321" t="s">
        <v>71</v>
      </c>
      <c r="V321" t="s">
        <v>77</v>
      </c>
      <c r="W321">
        <v>0</v>
      </c>
      <c r="X321">
        <v>0</v>
      </c>
      <c r="Y321">
        <v>45</v>
      </c>
      <c r="Z321">
        <v>52</v>
      </c>
      <c r="AA321">
        <v>60</v>
      </c>
      <c r="AB321">
        <v>1500</v>
      </c>
      <c r="AC321">
        <v>1344</v>
      </c>
      <c r="AD321">
        <v>1344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72</v>
      </c>
      <c r="AN321">
        <v>9</v>
      </c>
      <c r="AO321">
        <v>0</v>
      </c>
      <c r="AP321">
        <v>5</v>
      </c>
      <c r="AQ321">
        <v>0</v>
      </c>
      <c r="AR321">
        <v>0</v>
      </c>
      <c r="AS321" t="s">
        <v>59</v>
      </c>
      <c r="AT321">
        <v>1</v>
      </c>
      <c r="AU321" t="s">
        <v>60</v>
      </c>
      <c r="AV321" t="s">
        <v>61</v>
      </c>
      <c r="AW321">
        <v>0</v>
      </c>
      <c r="AX321">
        <v>3</v>
      </c>
      <c r="AY321">
        <v>0</v>
      </c>
      <c r="AZ321">
        <v>0</v>
      </c>
      <c r="BA321">
        <v>100</v>
      </c>
      <c r="BB321">
        <v>100</v>
      </c>
      <c r="BC321">
        <v>100</v>
      </c>
      <c r="BD321">
        <v>100</v>
      </c>
      <c r="BE321">
        <v>1</v>
      </c>
      <c r="BF321">
        <v>15000</v>
      </c>
      <c r="BG321">
        <v>1000</v>
      </c>
      <c r="BH321" s="8">
        <f>Granger_Inventory[[#This Row],[land_extract]]*Lookups!$B$3</f>
        <v>32806.481099880541</v>
      </c>
      <c r="BI321" s="8">
        <f>IF(Granger_Inventory[[#This Row],[bldg_style]]="",0,Lookups!$B$2)</f>
        <v>29703.559000000001</v>
      </c>
      <c r="BJ321" s="8">
        <f>_xlfn.IFNA(VLOOKUP(Granger_Inventory[[#This Row],[quality]],Lookups!$H$2:$J$14,3,FALSE),0)</f>
        <v>34195</v>
      </c>
      <c r="BK321" s="8">
        <f>_xlfn.IFNA(VLOOKUP(Granger_Inventory[[#This Row],[condition]],Lookups!$H$17:$J$24,3,FALSE),0)</f>
        <v>33736</v>
      </c>
      <c r="BL321" s="8">
        <f>Granger_Inventory[[#This Row],[Age]]*Lookups!$B$16</f>
        <v>-10781.217199999999</v>
      </c>
      <c r="BM321" s="8">
        <f>Granger_Inventory[[#This Row],[living_area]]*Lookups!$B$17</f>
        <v>90414.789695999993</v>
      </c>
      <c r="BN321" s="8">
        <f>(Granger_Inventory[[#This Row],[att_gar]]+Granger_Inventory[[#This Row],[blt_gar]])*Lookups!$B$18</f>
        <v>0</v>
      </c>
      <c r="BO321" s="8">
        <f>Granger_Inventory[[#This Row],[Patio]]*Lookups!$B$19</f>
        <v>3910.6869119999997</v>
      </c>
      <c r="BP321" s="8">
        <f>SUM(Granger_Inventory[[#This Row],[Intercept]:[Patio_Value]])*Granger_Inventory[[#This Row],[res_pct]]</f>
        <v>181178.81840799999</v>
      </c>
      <c r="BQ321" s="8">
        <f>Granger_Inventory[[#This Row],[land_value]]</f>
        <v>32806.481099880541</v>
      </c>
      <c r="BR321" s="4">
        <f>_xlfn.IFNA(VLOOKUP(Granger_Inventory[[#This Row],[quality]],Lookups!$A$25:$C$35,3,FALSE),1)</f>
        <v>0.98258795897788032</v>
      </c>
      <c r="BS321" s="4">
        <f>_xlfn.IFNA(VLOOKUP(Granger_Inventory[[#This Row],[condition]],Lookups!$A$38:$C$45,3,FALSE),1)</f>
        <v>0.92294678898076177</v>
      </c>
      <c r="BT321" s="4">
        <f>IF(Granger_Inventory[[#This Row],[decade]]="",1,_xlfn.IFNA(VLOOKUP(Granger_Inventory[[#This Row],[decade]],Lookups!$G$28:$I$42,3,FALSE),1))</f>
        <v>0.86581421791274704</v>
      </c>
      <c r="BU321" s="4">
        <f>_xlfn.IFNA(VLOOKUP(Granger_Inventory[[#This Row],[living_area_range]],Lookups!$A$48:$C$57,3,FALSE),1)</f>
        <v>0.97960506760539345</v>
      </c>
      <c r="BV321" s="4">
        <f>AVERAGE(Granger_Inventory[[#This Row],[qual_adj]:[living_range_adj]])</f>
        <v>0.93773850836919559</v>
      </c>
      <c r="BW321" s="8">
        <f>(Granger_Inventory[[#This Row],[sum_land]]-IF(Granger_Inventory[[#This Row],[no_utilities]]=1,12000,0))/IF(Granger_Inventory[[#This Row],[unbuildable]]=1,2,1)</f>
        <v>32806.481099880541</v>
      </c>
      <c r="BX321" s="8">
        <f>Granger_Inventory[[#This Row],[pre_res]]*Granger_Inventory[[#This Row],[overall_adj]]</f>
        <v>169898.35492201126</v>
      </c>
      <c r="BY321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21">
        <f>ROUND(Granger_Inventory[[#This Row],[detatched_value]]*Lookups!$I$45,-2)</f>
        <v>0</v>
      </c>
      <c r="CA321">
        <f>IF(ROUND(Granger_Inventory[[#This Row],[adj_res]]*Lookups!$I$45,-2)&lt;Granger_Inventory[[#This Row],[min_res]],Granger_Inventory[[#This Row],[min_res]],ROUND(Granger_Inventory[[#This Row],[adj_res]]*Lookups!$I$45,-2))</f>
        <v>161400</v>
      </c>
      <c r="CB321">
        <f>Granger_Inventory[[#This Row],[final_det]]+Granger_Inventory[[#This Row],[final_res]]</f>
        <v>161400</v>
      </c>
      <c r="CC321">
        <f>Granger_Inventory[[#This Row],[final_land]]+Granger_Inventory[[#This Row],[final_imp]]+Granger_Inventory[[#This Row],[crop_value]]</f>
        <v>192600</v>
      </c>
      <c r="CE321" t="str">
        <f t="shared" si="4"/>
        <v>update valuation set market_land =31200, market_bldg=161400, market_total =192600, market_mdno =402, market_date ='9/10/2023' where link_id = (select link_id from parcel where parcel_year = '2024' and parcel_id = '21102112456');</v>
      </c>
    </row>
    <row r="322" spans="1:83" x14ac:dyDescent="0.25">
      <c r="A322">
        <v>21102112457</v>
      </c>
      <c r="B322">
        <v>0.3</v>
      </c>
      <c r="C322">
        <v>13093</v>
      </c>
      <c r="D322" t="s">
        <v>137</v>
      </c>
      <c r="E322" t="s">
        <v>54</v>
      </c>
      <c r="F322" t="s">
        <v>54</v>
      </c>
      <c r="G322">
        <v>3</v>
      </c>
      <c r="H322" t="s">
        <v>55</v>
      </c>
      <c r="I322">
        <v>71100</v>
      </c>
      <c r="J322">
        <v>30400</v>
      </c>
      <c r="K322">
        <v>0.3</v>
      </c>
      <c r="L322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322">
        <v>0</v>
      </c>
      <c r="N322">
        <v>0</v>
      </c>
      <c r="O322">
        <v>0</v>
      </c>
      <c r="P322">
        <v>47108.068500000001</v>
      </c>
      <c r="Q322">
        <v>122298</v>
      </c>
      <c r="R322">
        <f>(Granger_Inventory[[#This Row],[ln_acres]]*Granger_Inventory[[#This Row],[coeff]])+Granger_Inventory[[#This Row],[const]]</f>
        <v>65581.166661676703</v>
      </c>
      <c r="S322" t="s">
        <v>69</v>
      </c>
      <c r="T322">
        <v>1</v>
      </c>
      <c r="U322" t="s">
        <v>78</v>
      </c>
      <c r="V322" t="s">
        <v>77</v>
      </c>
      <c r="W322">
        <v>0</v>
      </c>
      <c r="X322">
        <v>0</v>
      </c>
      <c r="Y322">
        <v>57</v>
      </c>
      <c r="Z322">
        <v>103</v>
      </c>
      <c r="AA322">
        <v>110</v>
      </c>
      <c r="AB322">
        <v>1500</v>
      </c>
      <c r="AC322">
        <v>1132</v>
      </c>
      <c r="AD322">
        <v>1132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324</v>
      </c>
      <c r="AO322">
        <v>0</v>
      </c>
      <c r="AP322">
        <v>5</v>
      </c>
      <c r="AQ322">
        <v>0</v>
      </c>
      <c r="AR322">
        <v>0</v>
      </c>
      <c r="AS322" t="s">
        <v>59</v>
      </c>
      <c r="AT322">
        <v>0</v>
      </c>
      <c r="AU322" t="s">
        <v>83</v>
      </c>
      <c r="AV322" t="s">
        <v>61</v>
      </c>
      <c r="AW322">
        <v>0</v>
      </c>
      <c r="AX322">
        <v>2</v>
      </c>
      <c r="AY322">
        <v>0</v>
      </c>
      <c r="AZ322">
        <v>0</v>
      </c>
      <c r="BA322">
        <v>100</v>
      </c>
      <c r="BB322">
        <v>100</v>
      </c>
      <c r="BC322">
        <v>100</v>
      </c>
      <c r="BD322">
        <v>100</v>
      </c>
      <c r="BE322">
        <v>1</v>
      </c>
      <c r="BF322">
        <v>15000</v>
      </c>
      <c r="BG322">
        <v>1000</v>
      </c>
      <c r="BH322" s="8">
        <f>Granger_Inventory[[#This Row],[land_extract]]*Lookups!$B$3</f>
        <v>39068.720880293993</v>
      </c>
      <c r="BI322" s="8">
        <f>IF(Granger_Inventory[[#This Row],[bldg_style]]="",0,Lookups!$B$2)</f>
        <v>29703.559000000001</v>
      </c>
      <c r="BJ322" s="8">
        <f>_xlfn.IFNA(VLOOKUP(Granger_Inventory[[#This Row],[quality]],Lookups!$H$2:$J$14,3,FALSE),0)</f>
        <v>23737.786340274597</v>
      </c>
      <c r="BK322" s="8">
        <f>_xlfn.IFNA(VLOOKUP(Granger_Inventory[[#This Row],[condition]],Lookups!$H$17:$J$24,3,FALSE),0)</f>
        <v>33736</v>
      </c>
      <c r="BL322" s="8">
        <f>Granger_Inventory[[#This Row],[Age]]*Lookups!$B$16</f>
        <v>-21355.103299999999</v>
      </c>
      <c r="BM322" s="8">
        <f>Granger_Inventory[[#This Row],[living_area]]*Lookups!$B$17</f>
        <v>76152.932988</v>
      </c>
      <c r="BN322" s="8">
        <f>(Granger_Inventory[[#This Row],[att_gar]]+Granger_Inventory[[#This Row],[blt_gar]])*Lookups!$B$18</f>
        <v>0</v>
      </c>
      <c r="BO322" s="8">
        <f>Granger_Inventory[[#This Row],[Patio]]*Lookups!$B$19</f>
        <v>0</v>
      </c>
      <c r="BP322" s="8">
        <f>SUM(Granger_Inventory[[#This Row],[Intercept]:[Patio_Value]])*Granger_Inventory[[#This Row],[res_pct]]</f>
        <v>141975.17502827459</v>
      </c>
      <c r="BQ322" s="8">
        <f>Granger_Inventory[[#This Row],[land_value]]</f>
        <v>39068.720880293993</v>
      </c>
      <c r="BR322" s="4">
        <f>_xlfn.IFNA(VLOOKUP(Granger_Inventory[[#This Row],[quality]],Lookups!$A$25:$C$35,3,FALSE),1)</f>
        <v>0.77695375541795109</v>
      </c>
      <c r="BS322" s="4">
        <f>_xlfn.IFNA(VLOOKUP(Granger_Inventory[[#This Row],[condition]],Lookups!$A$38:$C$45,3,FALSE),1)</f>
        <v>0.92294678898076177</v>
      </c>
      <c r="BT322" s="4">
        <f>IF(Granger_Inventory[[#This Row],[decade]]="",1,_xlfn.IFNA(VLOOKUP(Granger_Inventory[[#This Row],[decade]],Lookups!$G$28:$I$42,3,FALSE),1))</f>
        <v>0.879441629375324</v>
      </c>
      <c r="BU322" s="4">
        <f>_xlfn.IFNA(VLOOKUP(Granger_Inventory[[#This Row],[living_area_range]],Lookups!$A$48:$C$57,3,FALSE),1)</f>
        <v>0.97960506760539345</v>
      </c>
      <c r="BV322" s="4">
        <f>AVERAGE(Granger_Inventory[[#This Row],[qual_adj]:[living_range_adj]])</f>
        <v>0.88973681034485752</v>
      </c>
      <c r="BW322" s="8">
        <f>(Granger_Inventory[[#This Row],[sum_land]]-IF(Granger_Inventory[[#This Row],[no_utilities]]=1,12000,0))/IF(Granger_Inventory[[#This Row],[unbuildable]]=1,2,1)</f>
        <v>39068.720880293993</v>
      </c>
      <c r="BX322" s="8">
        <f>Granger_Inventory[[#This Row],[pre_res]]*Granger_Inventory[[#This Row],[overall_adj]]</f>
        <v>126320.53937780991</v>
      </c>
      <c r="BY322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322">
        <f>ROUND(Granger_Inventory[[#This Row],[detatched_value]]*Lookups!$I$45,-2)</f>
        <v>0</v>
      </c>
      <c r="CA322">
        <f>IF(ROUND(Granger_Inventory[[#This Row],[adj_res]]*Lookups!$I$45,-2)&lt;Granger_Inventory[[#This Row],[min_res]],Granger_Inventory[[#This Row],[min_res]],ROUND(Granger_Inventory[[#This Row],[adj_res]]*Lookups!$I$45,-2))</f>
        <v>120000</v>
      </c>
      <c r="CB322">
        <f>Granger_Inventory[[#This Row],[final_det]]+Granger_Inventory[[#This Row],[final_res]]</f>
        <v>120000</v>
      </c>
      <c r="CC322">
        <f>Granger_Inventory[[#This Row],[final_land]]+Granger_Inventory[[#This Row],[final_imp]]+Granger_Inventory[[#This Row],[crop_value]]</f>
        <v>157100</v>
      </c>
      <c r="CE322" t="str">
        <f t="shared" ref="CE322:CE385" si="5">"update valuation set market_land ="&amp;BY322&amp;", market_bldg="&amp;CB322&amp;", market_total ="&amp;CC322&amp;", market_mdno ="&amp;$CE$1&amp;", market_date ='"&amp;TEXT($CF$1,"m/d/yyyy")&amp;"' where link_id = (select link_id from parcel where parcel_year = '2024' and parcel_id = '"&amp;A322&amp;"');"</f>
        <v>update valuation set market_land =37100, market_bldg=120000, market_total =157100, market_mdno =402, market_date ='9/10/2023' where link_id = (select link_id from parcel where parcel_year = '2024' and parcel_id = '21102112457');</v>
      </c>
    </row>
    <row r="323" spans="1:83" x14ac:dyDescent="0.25">
      <c r="A323">
        <v>21102112458</v>
      </c>
      <c r="B323">
        <v>0.15</v>
      </c>
      <c r="C323">
        <v>6569</v>
      </c>
      <c r="D323" t="s">
        <v>137</v>
      </c>
      <c r="E323" t="s">
        <v>54</v>
      </c>
      <c r="F323" t="s">
        <v>54</v>
      </c>
      <c r="G323">
        <v>3</v>
      </c>
      <c r="H323" t="s">
        <v>55</v>
      </c>
      <c r="I323">
        <v>114900</v>
      </c>
      <c r="J323">
        <v>26300</v>
      </c>
      <c r="K323">
        <v>0.15</v>
      </c>
      <c r="L323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23">
        <v>0</v>
      </c>
      <c r="N323">
        <v>0</v>
      </c>
      <c r="O323">
        <v>0</v>
      </c>
      <c r="P323">
        <v>47108.068500000001</v>
      </c>
      <c r="Q323">
        <v>122298</v>
      </c>
      <c r="R323">
        <f>(Granger_Inventory[[#This Row],[ln_acres]]*Granger_Inventory[[#This Row],[coeff]])+Granger_Inventory[[#This Row],[const]]</f>
        <v>32928.341799276939</v>
      </c>
      <c r="S323" t="s">
        <v>62</v>
      </c>
      <c r="T323">
        <v>1</v>
      </c>
      <c r="U323" t="s">
        <v>71</v>
      </c>
      <c r="V323" t="s">
        <v>77</v>
      </c>
      <c r="W323">
        <v>0</v>
      </c>
      <c r="X323">
        <v>0</v>
      </c>
      <c r="Y323">
        <v>46</v>
      </c>
      <c r="Z323">
        <v>53</v>
      </c>
      <c r="AA323">
        <v>60</v>
      </c>
      <c r="AB323">
        <v>1500</v>
      </c>
      <c r="AC323">
        <v>1348</v>
      </c>
      <c r="AD323">
        <v>996</v>
      </c>
      <c r="AE323">
        <v>0</v>
      </c>
      <c r="AF323">
        <v>0</v>
      </c>
      <c r="AG323">
        <v>352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56</v>
      </c>
      <c r="AO323">
        <v>0</v>
      </c>
      <c r="AP323">
        <v>5</v>
      </c>
      <c r="AQ323">
        <v>1</v>
      </c>
      <c r="AR323">
        <v>0</v>
      </c>
      <c r="AS323" t="s">
        <v>59</v>
      </c>
      <c r="AT323">
        <v>1</v>
      </c>
      <c r="AU323" t="s">
        <v>76</v>
      </c>
      <c r="AV323" t="s">
        <v>65</v>
      </c>
      <c r="AW323">
        <v>0</v>
      </c>
      <c r="AX323">
        <v>2</v>
      </c>
      <c r="AY323">
        <v>0</v>
      </c>
      <c r="AZ323">
        <v>0</v>
      </c>
      <c r="BA323">
        <v>100</v>
      </c>
      <c r="BB323">
        <v>100</v>
      </c>
      <c r="BC323">
        <v>100</v>
      </c>
      <c r="BD323">
        <v>100</v>
      </c>
      <c r="BE323">
        <v>1</v>
      </c>
      <c r="BF323">
        <v>15000</v>
      </c>
      <c r="BG323">
        <v>1000</v>
      </c>
      <c r="BH323" s="8">
        <f>Granger_Inventory[[#This Row],[land_extract]]*Lookups!$B$3</f>
        <v>19616.42740275669</v>
      </c>
      <c r="BI323" s="8">
        <f>IF(Granger_Inventory[[#This Row],[bldg_style]]="",0,Lookups!$B$2)</f>
        <v>29703.559000000001</v>
      </c>
      <c r="BJ323" s="8">
        <f>_xlfn.IFNA(VLOOKUP(Granger_Inventory[[#This Row],[quality]],Lookups!$H$2:$J$14,3,FALSE),0)</f>
        <v>34195</v>
      </c>
      <c r="BK323" s="8">
        <f>_xlfn.IFNA(VLOOKUP(Granger_Inventory[[#This Row],[condition]],Lookups!$H$17:$J$24,3,FALSE),0)</f>
        <v>33736</v>
      </c>
      <c r="BL323" s="8">
        <f>Granger_Inventory[[#This Row],[Age]]*Lookups!$B$16</f>
        <v>-10988.5483</v>
      </c>
      <c r="BM323" s="8">
        <f>Granger_Inventory[[#This Row],[living_area]]*Lookups!$B$17</f>
        <v>90683.881332000004</v>
      </c>
      <c r="BN323" s="8">
        <f>(Granger_Inventory[[#This Row],[att_gar]]+Granger_Inventory[[#This Row],[blt_gar]])*Lookups!$B$18</f>
        <v>0</v>
      </c>
      <c r="BO323" s="8">
        <f>Granger_Inventory[[#This Row],[Patio]]*Lookups!$B$19</f>
        <v>0</v>
      </c>
      <c r="BP323" s="8">
        <f>SUM(Granger_Inventory[[#This Row],[Intercept]:[Patio_Value]])*Granger_Inventory[[#This Row],[res_pct]]</f>
        <v>177329.892032</v>
      </c>
      <c r="BQ323" s="8">
        <f>Granger_Inventory[[#This Row],[land_value]]</f>
        <v>19616.42740275669</v>
      </c>
      <c r="BR323" s="4">
        <f>_xlfn.IFNA(VLOOKUP(Granger_Inventory[[#This Row],[quality]],Lookups!$A$25:$C$35,3,FALSE),1)</f>
        <v>0.98258795897788032</v>
      </c>
      <c r="BS323" s="4">
        <f>_xlfn.IFNA(VLOOKUP(Granger_Inventory[[#This Row],[condition]],Lookups!$A$38:$C$45,3,FALSE),1)</f>
        <v>0.92294678898076177</v>
      </c>
      <c r="BT323" s="4">
        <f>IF(Granger_Inventory[[#This Row],[decade]]="",1,_xlfn.IFNA(VLOOKUP(Granger_Inventory[[#This Row],[decade]],Lookups!$G$28:$I$42,3,FALSE),1))</f>
        <v>0.86581421791274704</v>
      </c>
      <c r="BU323" s="4">
        <f>_xlfn.IFNA(VLOOKUP(Granger_Inventory[[#This Row],[living_area_range]],Lookups!$A$48:$C$57,3,FALSE),1)</f>
        <v>0.97960506760539345</v>
      </c>
      <c r="BV323" s="4">
        <f>AVERAGE(Granger_Inventory[[#This Row],[qual_adj]:[living_range_adj]])</f>
        <v>0.93773850836919559</v>
      </c>
      <c r="BW323" s="8">
        <f>(Granger_Inventory[[#This Row],[sum_land]]-IF(Granger_Inventory[[#This Row],[no_utilities]]=1,12000,0))/IF(Granger_Inventory[[#This Row],[unbuildable]]=1,2,1)</f>
        <v>19616.42740275669</v>
      </c>
      <c r="BX323" s="8">
        <f>Granger_Inventory[[#This Row],[pre_res]]*Granger_Inventory[[#This Row],[overall_adj]]</f>
        <v>166289.06844335818</v>
      </c>
      <c r="BY323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23">
        <f>ROUND(Granger_Inventory[[#This Row],[detatched_value]]*Lookups!$I$45,-2)</f>
        <v>0</v>
      </c>
      <c r="CA323">
        <f>IF(ROUND(Granger_Inventory[[#This Row],[adj_res]]*Lookups!$I$45,-2)&lt;Granger_Inventory[[#This Row],[min_res]],Granger_Inventory[[#This Row],[min_res]],ROUND(Granger_Inventory[[#This Row],[adj_res]]*Lookups!$I$45,-2))</f>
        <v>158000</v>
      </c>
      <c r="CB323">
        <f>Granger_Inventory[[#This Row],[final_det]]+Granger_Inventory[[#This Row],[final_res]]</f>
        <v>158000</v>
      </c>
      <c r="CC323">
        <f>Granger_Inventory[[#This Row],[final_land]]+Granger_Inventory[[#This Row],[final_imp]]+Granger_Inventory[[#This Row],[crop_value]]</f>
        <v>176600</v>
      </c>
      <c r="CE323" t="str">
        <f t="shared" si="5"/>
        <v>update valuation set market_land =18600, market_bldg=158000, market_total =176600, market_mdno =402, market_date ='9/10/2023' where link_id = (select link_id from parcel where parcel_year = '2024' and parcel_id = '21102112458');</v>
      </c>
    </row>
    <row r="324" spans="1:83" x14ac:dyDescent="0.25">
      <c r="A324">
        <v>21102112461</v>
      </c>
      <c r="B324">
        <v>0.16</v>
      </c>
      <c r="C324" t="s">
        <v>137</v>
      </c>
      <c r="D324" t="s">
        <v>137</v>
      </c>
      <c r="E324" t="s">
        <v>54</v>
      </c>
      <c r="F324" t="s">
        <v>54</v>
      </c>
      <c r="G324">
        <v>3</v>
      </c>
      <c r="H324" t="s">
        <v>55</v>
      </c>
      <c r="I324">
        <v>82400</v>
      </c>
      <c r="J324">
        <v>26700</v>
      </c>
      <c r="K324">
        <v>0.16</v>
      </c>
      <c r="L32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324">
        <v>0</v>
      </c>
      <c r="N324">
        <v>0</v>
      </c>
      <c r="O324">
        <v>0</v>
      </c>
      <c r="P324">
        <v>47108.068500000001</v>
      </c>
      <c r="Q324">
        <v>122298</v>
      </c>
      <c r="R324">
        <f>(Granger_Inventory[[#This Row],[ln_acres]]*Granger_Inventory[[#This Row],[coeff]])+Granger_Inventory[[#This Row],[const]]</f>
        <v>35968.626873914327</v>
      </c>
      <c r="S324" t="s">
        <v>69</v>
      </c>
      <c r="T324">
        <v>1</v>
      </c>
      <c r="U324" t="s">
        <v>78</v>
      </c>
      <c r="V324" t="s">
        <v>77</v>
      </c>
      <c r="W324">
        <v>0</v>
      </c>
      <c r="X324">
        <v>0</v>
      </c>
      <c r="Y324">
        <v>55</v>
      </c>
      <c r="Z324">
        <v>98</v>
      </c>
      <c r="AA324">
        <v>100</v>
      </c>
      <c r="AB324">
        <v>1000</v>
      </c>
      <c r="AC324">
        <v>976</v>
      </c>
      <c r="AD324">
        <v>976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336</v>
      </c>
      <c r="AL324">
        <v>0</v>
      </c>
      <c r="AM324">
        <v>0</v>
      </c>
      <c r="AN324">
        <v>112</v>
      </c>
      <c r="AO324">
        <v>0</v>
      </c>
      <c r="AP324">
        <v>5</v>
      </c>
      <c r="AQ324">
        <v>0</v>
      </c>
      <c r="AR324">
        <v>0</v>
      </c>
      <c r="AS324" t="s">
        <v>59</v>
      </c>
      <c r="AT324">
        <v>1</v>
      </c>
      <c r="AU324" t="s">
        <v>76</v>
      </c>
      <c r="AV324" t="s">
        <v>65</v>
      </c>
      <c r="AW324">
        <v>0</v>
      </c>
      <c r="AX324">
        <v>3</v>
      </c>
      <c r="AY324">
        <v>0</v>
      </c>
      <c r="AZ324">
        <v>0</v>
      </c>
      <c r="BA324">
        <v>100</v>
      </c>
      <c r="BB324">
        <v>100</v>
      </c>
      <c r="BC324">
        <v>100</v>
      </c>
      <c r="BD324">
        <v>100</v>
      </c>
      <c r="BE324">
        <v>1</v>
      </c>
      <c r="BF324">
        <v>15000</v>
      </c>
      <c r="BG324">
        <v>1000</v>
      </c>
      <c r="BH324" s="8">
        <f>Granger_Inventory[[#This Row],[land_extract]]*Lookups!$B$3</f>
        <v>21427.618862498482</v>
      </c>
      <c r="BI324" s="8">
        <f>IF(Granger_Inventory[[#This Row],[bldg_style]]="",0,Lookups!$B$2)</f>
        <v>29703.559000000001</v>
      </c>
      <c r="BJ324" s="8">
        <f>_xlfn.IFNA(VLOOKUP(Granger_Inventory[[#This Row],[quality]],Lookups!$H$2:$J$14,3,FALSE),0)</f>
        <v>23737.786340274597</v>
      </c>
      <c r="BK324" s="8">
        <f>_xlfn.IFNA(VLOOKUP(Granger_Inventory[[#This Row],[condition]],Lookups!$H$17:$J$24,3,FALSE),0)</f>
        <v>33736</v>
      </c>
      <c r="BL324" s="8">
        <f>Granger_Inventory[[#This Row],[Age]]*Lookups!$B$16</f>
        <v>-20318.447799999998</v>
      </c>
      <c r="BM324" s="8">
        <f>Granger_Inventory[[#This Row],[living_area]]*Lookups!$B$17</f>
        <v>65658.359184000001</v>
      </c>
      <c r="BN324" s="8">
        <f>(Granger_Inventory[[#This Row],[att_gar]]+Granger_Inventory[[#This Row],[blt_gar]])*Lookups!$B$18</f>
        <v>0</v>
      </c>
      <c r="BO324" s="8">
        <f>Granger_Inventory[[#This Row],[Patio]]*Lookups!$B$19</f>
        <v>0</v>
      </c>
      <c r="BP324" s="8">
        <f>SUM(Granger_Inventory[[#This Row],[Intercept]:[Patio_Value]])*Granger_Inventory[[#This Row],[res_pct]]</f>
        <v>132517.2567242746</v>
      </c>
      <c r="BQ324" s="8">
        <f>Granger_Inventory[[#This Row],[land_value]]</f>
        <v>21427.618862498482</v>
      </c>
      <c r="BR324" s="4">
        <f>_xlfn.IFNA(VLOOKUP(Granger_Inventory[[#This Row],[quality]],Lookups!$A$25:$C$35,3,FALSE),1)</f>
        <v>0.77695375541795109</v>
      </c>
      <c r="BS324" s="4">
        <f>_xlfn.IFNA(VLOOKUP(Granger_Inventory[[#This Row],[condition]],Lookups!$A$38:$C$45,3,FALSE),1)</f>
        <v>0.92294678898076177</v>
      </c>
      <c r="BT324" s="4">
        <f>IF(Granger_Inventory[[#This Row],[decade]]="",1,_xlfn.IFNA(VLOOKUP(Granger_Inventory[[#This Row],[decade]],Lookups!$G$28:$I$42,3,FALSE),1))</f>
        <v>0.879441629375324</v>
      </c>
      <c r="BU324" s="4">
        <f>_xlfn.IFNA(VLOOKUP(Granger_Inventory[[#This Row],[living_area_range]],Lookups!$A$48:$C$57,3,FALSE),1)</f>
        <v>0.81272404900450645</v>
      </c>
      <c r="BV324" s="4">
        <f>AVERAGE(Granger_Inventory[[#This Row],[qual_adj]:[living_range_adj]])</f>
        <v>0.84801655569463574</v>
      </c>
      <c r="BW324" s="8">
        <f>(Granger_Inventory[[#This Row],[sum_land]]-IF(Granger_Inventory[[#This Row],[no_utilities]]=1,12000,0))/IF(Granger_Inventory[[#This Row],[unbuildable]]=1,2,1)</f>
        <v>21427.618862498482</v>
      </c>
      <c r="BX324" s="8">
        <f>Granger_Inventory[[#This Row],[pre_res]]*Granger_Inventory[[#This Row],[overall_adj]]</f>
        <v>112376.82761742115</v>
      </c>
      <c r="BY32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324">
        <f>ROUND(Granger_Inventory[[#This Row],[detatched_value]]*Lookups!$I$45,-2)</f>
        <v>0</v>
      </c>
      <c r="CA324">
        <f>IF(ROUND(Granger_Inventory[[#This Row],[adj_res]]*Lookups!$I$45,-2)&lt;Granger_Inventory[[#This Row],[min_res]],Granger_Inventory[[#This Row],[min_res]],ROUND(Granger_Inventory[[#This Row],[adj_res]]*Lookups!$I$45,-2))</f>
        <v>106800</v>
      </c>
      <c r="CB324">
        <f>Granger_Inventory[[#This Row],[final_det]]+Granger_Inventory[[#This Row],[final_res]]</f>
        <v>106800</v>
      </c>
      <c r="CC324">
        <f>Granger_Inventory[[#This Row],[final_land]]+Granger_Inventory[[#This Row],[final_imp]]+Granger_Inventory[[#This Row],[crop_value]]</f>
        <v>127200</v>
      </c>
      <c r="CE324" t="str">
        <f t="shared" si="5"/>
        <v>update valuation set market_land =20400, market_bldg=106800, market_total =127200, market_mdno =402, market_date ='9/10/2023' where link_id = (select link_id from parcel where parcel_year = '2024' and parcel_id = '21102112461');</v>
      </c>
    </row>
    <row r="325" spans="1:83" x14ac:dyDescent="0.25">
      <c r="A325">
        <v>21102112462</v>
      </c>
      <c r="B325">
        <v>0.15</v>
      </c>
      <c r="C325">
        <v>6507</v>
      </c>
      <c r="D325" t="s">
        <v>137</v>
      </c>
      <c r="E325" t="s">
        <v>54</v>
      </c>
      <c r="F325" t="s">
        <v>54</v>
      </c>
      <c r="G325">
        <v>3</v>
      </c>
      <c r="H325" t="s">
        <v>55</v>
      </c>
      <c r="I325">
        <v>157000</v>
      </c>
      <c r="J325">
        <v>26300</v>
      </c>
      <c r="K325">
        <v>0.15</v>
      </c>
      <c r="L325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25">
        <v>0</v>
      </c>
      <c r="N325">
        <v>0</v>
      </c>
      <c r="O325">
        <v>0</v>
      </c>
      <c r="P325">
        <v>47108.068500000001</v>
      </c>
      <c r="Q325">
        <v>122298</v>
      </c>
      <c r="R325">
        <f>(Granger_Inventory[[#This Row],[ln_acres]]*Granger_Inventory[[#This Row],[coeff]])+Granger_Inventory[[#This Row],[const]]</f>
        <v>32928.341799276939</v>
      </c>
      <c r="S325" t="s">
        <v>69</v>
      </c>
      <c r="T325">
        <v>1</v>
      </c>
      <c r="U325" t="s">
        <v>64</v>
      </c>
      <c r="V325" t="s">
        <v>82</v>
      </c>
      <c r="W325">
        <v>0</v>
      </c>
      <c r="X325">
        <v>0</v>
      </c>
      <c r="Y325">
        <v>51</v>
      </c>
      <c r="Z325">
        <v>78</v>
      </c>
      <c r="AA325">
        <v>80</v>
      </c>
      <c r="AB325">
        <v>2000</v>
      </c>
      <c r="AC325">
        <v>1685</v>
      </c>
      <c r="AD325">
        <v>1220</v>
      </c>
      <c r="AE325">
        <v>0</v>
      </c>
      <c r="AF325">
        <v>0</v>
      </c>
      <c r="AG325">
        <v>465</v>
      </c>
      <c r="AH325">
        <v>465</v>
      </c>
      <c r="AI325">
        <v>0</v>
      </c>
      <c r="AJ325">
        <v>0</v>
      </c>
      <c r="AK325">
        <v>0</v>
      </c>
      <c r="AL325">
        <v>0</v>
      </c>
      <c r="AM325">
        <v>552</v>
      </c>
      <c r="AN325">
        <v>12</v>
      </c>
      <c r="AO325">
        <v>0</v>
      </c>
      <c r="AP325">
        <v>8</v>
      </c>
      <c r="AQ325">
        <v>1</v>
      </c>
      <c r="AR325">
        <v>0</v>
      </c>
      <c r="AS325" t="s">
        <v>59</v>
      </c>
      <c r="AT325">
        <v>1</v>
      </c>
      <c r="AU325" t="s">
        <v>60</v>
      </c>
      <c r="AV325" t="s">
        <v>65</v>
      </c>
      <c r="AW325">
        <v>0</v>
      </c>
      <c r="AX325">
        <v>3</v>
      </c>
      <c r="AY325">
        <v>0</v>
      </c>
      <c r="AZ325">
        <v>0</v>
      </c>
      <c r="BA325">
        <v>100</v>
      </c>
      <c r="BB325">
        <v>100</v>
      </c>
      <c r="BC325">
        <v>100</v>
      </c>
      <c r="BD325">
        <v>100</v>
      </c>
      <c r="BE325">
        <v>1</v>
      </c>
      <c r="BF325">
        <v>15000</v>
      </c>
      <c r="BG325">
        <v>1000</v>
      </c>
      <c r="BH325" s="8">
        <f>Granger_Inventory[[#This Row],[land_extract]]*Lookups!$B$3</f>
        <v>19616.42740275669</v>
      </c>
      <c r="BI325" s="8">
        <f>IF(Granger_Inventory[[#This Row],[bldg_style]]="",0,Lookups!$B$2)</f>
        <v>29703.559000000001</v>
      </c>
      <c r="BJ325" s="8">
        <f>_xlfn.IFNA(VLOOKUP(Granger_Inventory[[#This Row],[quality]],Lookups!$H$2:$J$14,3,FALSE),0)</f>
        <v>36568</v>
      </c>
      <c r="BK325" s="8">
        <f>_xlfn.IFNA(VLOOKUP(Granger_Inventory[[#This Row],[condition]],Lookups!$H$17:$J$24,3,FALSE),0)</f>
        <v>27308</v>
      </c>
      <c r="BL325" s="8">
        <f>Granger_Inventory[[#This Row],[Age]]*Lookups!$B$16</f>
        <v>-16171.825799999999</v>
      </c>
      <c r="BM325" s="8">
        <f>Granger_Inventory[[#This Row],[living_area]]*Lookups!$B$17</f>
        <v>113354.85166499999</v>
      </c>
      <c r="BN325" s="8">
        <f>(Granger_Inventory[[#This Row],[att_gar]]+Granger_Inventory[[#This Row],[blt_gar]])*Lookups!$B$18</f>
        <v>0</v>
      </c>
      <c r="BO325" s="8">
        <f>Granger_Inventory[[#This Row],[Patio]]*Lookups!$B$19</f>
        <v>29981.932991999998</v>
      </c>
      <c r="BP325" s="8">
        <f>SUM(Granger_Inventory[[#This Row],[Intercept]:[Patio_Value]])*Granger_Inventory[[#This Row],[res_pct]]</f>
        <v>220744.517857</v>
      </c>
      <c r="BQ325" s="8">
        <f>Granger_Inventory[[#This Row],[land_value]]</f>
        <v>19616.42740275669</v>
      </c>
      <c r="BR325" s="4">
        <f>_xlfn.IFNA(VLOOKUP(Granger_Inventory[[#This Row],[quality]],Lookups!$A$25:$C$35,3,FALSE),1)</f>
        <v>0.99049976351917957</v>
      </c>
      <c r="BS325" s="4">
        <f>_xlfn.IFNA(VLOOKUP(Granger_Inventory[[#This Row],[condition]],Lookups!$A$38:$C$45,3,FALSE),1)</f>
        <v>0.59507759803100935</v>
      </c>
      <c r="BT325" s="4">
        <f>IF(Granger_Inventory[[#This Row],[decade]]="",1,_xlfn.IFNA(VLOOKUP(Granger_Inventory[[#This Row],[decade]],Lookups!$G$28:$I$42,3,FALSE),1))</f>
        <v>0.76006056002554967</v>
      </c>
      <c r="BU325" s="4">
        <f>_xlfn.IFNA(VLOOKUP(Granger_Inventory[[#This Row],[living_area_range]],Lookups!$A$48:$C$57,3,FALSE),1)</f>
        <v>0.97860968051050168</v>
      </c>
      <c r="BV325" s="4">
        <f>AVERAGE(Granger_Inventory[[#This Row],[qual_adj]:[living_range_adj]])</f>
        <v>0.83106190052156004</v>
      </c>
      <c r="BW325" s="8">
        <f>(Granger_Inventory[[#This Row],[sum_land]]-IF(Granger_Inventory[[#This Row],[no_utilities]]=1,12000,0))/IF(Granger_Inventory[[#This Row],[unbuildable]]=1,2,1)</f>
        <v>19616.42740275669</v>
      </c>
      <c r="BX325" s="8">
        <f>Granger_Inventory[[#This Row],[pre_res]]*Granger_Inventory[[#This Row],[overall_adj]]</f>
        <v>183452.35853995386</v>
      </c>
      <c r="BY325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25">
        <f>ROUND(Granger_Inventory[[#This Row],[detatched_value]]*Lookups!$I$45,-2)</f>
        <v>0</v>
      </c>
      <c r="CA325">
        <f>IF(ROUND(Granger_Inventory[[#This Row],[adj_res]]*Lookups!$I$45,-2)&lt;Granger_Inventory[[#This Row],[min_res]],Granger_Inventory[[#This Row],[min_res]],ROUND(Granger_Inventory[[#This Row],[adj_res]]*Lookups!$I$45,-2))</f>
        <v>174300</v>
      </c>
      <c r="CB325">
        <f>Granger_Inventory[[#This Row],[final_det]]+Granger_Inventory[[#This Row],[final_res]]</f>
        <v>174300</v>
      </c>
      <c r="CC325">
        <f>Granger_Inventory[[#This Row],[final_land]]+Granger_Inventory[[#This Row],[final_imp]]+Granger_Inventory[[#This Row],[crop_value]]</f>
        <v>192900</v>
      </c>
      <c r="CE325" t="str">
        <f t="shared" si="5"/>
        <v>update valuation set market_land =18600, market_bldg=174300, market_total =192900, market_mdno =402, market_date ='9/10/2023' where link_id = (select link_id from parcel where parcel_year = '2024' and parcel_id = '21102112462');</v>
      </c>
    </row>
    <row r="326" spans="1:83" x14ac:dyDescent="0.25">
      <c r="A326">
        <v>21102112464</v>
      </c>
      <c r="B326">
        <v>0.24</v>
      </c>
      <c r="C326">
        <v>10367</v>
      </c>
      <c r="D326" t="s">
        <v>137</v>
      </c>
      <c r="E326" t="s">
        <v>54</v>
      </c>
      <c r="F326" t="s">
        <v>54</v>
      </c>
      <c r="G326">
        <v>3</v>
      </c>
      <c r="H326" t="s">
        <v>55</v>
      </c>
      <c r="I326">
        <v>136900</v>
      </c>
      <c r="J326">
        <v>29100</v>
      </c>
      <c r="K326">
        <v>0.24</v>
      </c>
      <c r="L326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26">
        <v>0</v>
      </c>
      <c r="N326">
        <v>0</v>
      </c>
      <c r="O326">
        <v>0</v>
      </c>
      <c r="P326">
        <v>47108.068500000001</v>
      </c>
      <c r="Q326">
        <v>122298</v>
      </c>
      <c r="R326">
        <f>(Granger_Inventory[[#This Row],[ln_acres]]*Granger_Inventory[[#This Row],[coeff]])+Granger_Inventory[[#This Row],[const]]</f>
        <v>55069.304961033646</v>
      </c>
      <c r="S326" t="s">
        <v>66</v>
      </c>
      <c r="T326">
        <v>1</v>
      </c>
      <c r="U326" t="s">
        <v>71</v>
      </c>
      <c r="V326" t="s">
        <v>77</v>
      </c>
      <c r="W326">
        <v>0</v>
      </c>
      <c r="X326">
        <v>0</v>
      </c>
      <c r="Y326">
        <v>57</v>
      </c>
      <c r="Z326">
        <v>103</v>
      </c>
      <c r="AA326">
        <v>110</v>
      </c>
      <c r="AB326">
        <v>1500</v>
      </c>
      <c r="AC326">
        <v>1047</v>
      </c>
      <c r="AD326">
        <v>1047</v>
      </c>
      <c r="AE326">
        <v>0</v>
      </c>
      <c r="AF326">
        <v>0</v>
      </c>
      <c r="AG326">
        <v>0</v>
      </c>
      <c r="AH326">
        <v>180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5</v>
      </c>
      <c r="AQ326">
        <v>0</v>
      </c>
      <c r="AR326">
        <v>0</v>
      </c>
      <c r="AS326" t="s">
        <v>81</v>
      </c>
      <c r="AT326">
        <v>1</v>
      </c>
      <c r="AU326" t="s">
        <v>60</v>
      </c>
      <c r="AV326" t="s">
        <v>61</v>
      </c>
      <c r="AW326">
        <v>0</v>
      </c>
      <c r="AX326">
        <v>3</v>
      </c>
      <c r="AY326">
        <v>0</v>
      </c>
      <c r="AZ326">
        <v>25700</v>
      </c>
      <c r="BA326">
        <v>100</v>
      </c>
      <c r="BB326">
        <v>100</v>
      </c>
      <c r="BC326">
        <v>100</v>
      </c>
      <c r="BD326">
        <v>100</v>
      </c>
      <c r="BE326">
        <v>1</v>
      </c>
      <c r="BF326">
        <v>15000</v>
      </c>
      <c r="BG326">
        <v>1000</v>
      </c>
      <c r="BH326" s="8">
        <f>Granger_Inventory[[#This Row],[land_extract]]*Lookups!$B$3</f>
        <v>32806.481099880541</v>
      </c>
      <c r="BI326" s="8">
        <f>IF(Granger_Inventory[[#This Row],[bldg_style]]="",0,Lookups!$B$2)</f>
        <v>29703.559000000001</v>
      </c>
      <c r="BJ326" s="8">
        <f>_xlfn.IFNA(VLOOKUP(Granger_Inventory[[#This Row],[quality]],Lookups!$H$2:$J$14,3,FALSE),0)</f>
        <v>34195</v>
      </c>
      <c r="BK326" s="8">
        <f>_xlfn.IFNA(VLOOKUP(Granger_Inventory[[#This Row],[condition]],Lookups!$H$17:$J$24,3,FALSE),0)</f>
        <v>33736</v>
      </c>
      <c r="BL326" s="8">
        <f>Granger_Inventory[[#This Row],[Age]]*Lookups!$B$16</f>
        <v>-21355.103299999999</v>
      </c>
      <c r="BM326" s="8">
        <f>Granger_Inventory[[#This Row],[living_area]]*Lookups!$B$17</f>
        <v>70434.735723000005</v>
      </c>
      <c r="BN326" s="8">
        <f>(Granger_Inventory[[#This Row],[att_gar]]+Granger_Inventory[[#This Row],[blt_gar]])*Lookups!$B$18</f>
        <v>0</v>
      </c>
      <c r="BO326" s="8">
        <f>Granger_Inventory[[#This Row],[Patio]]*Lookups!$B$19</f>
        <v>0</v>
      </c>
      <c r="BP326" s="8">
        <f>SUM(Granger_Inventory[[#This Row],[Intercept]:[Patio_Value]])*Granger_Inventory[[#This Row],[res_pct]]</f>
        <v>146714.19142300001</v>
      </c>
      <c r="BQ326" s="8">
        <f>Granger_Inventory[[#This Row],[land_value]]</f>
        <v>32806.481099880541</v>
      </c>
      <c r="BR326" s="4">
        <f>_xlfn.IFNA(VLOOKUP(Granger_Inventory[[#This Row],[quality]],Lookups!$A$25:$C$35,3,FALSE),1)</f>
        <v>0.98258795897788032</v>
      </c>
      <c r="BS326" s="4">
        <f>_xlfn.IFNA(VLOOKUP(Granger_Inventory[[#This Row],[condition]],Lookups!$A$38:$C$45,3,FALSE),1)</f>
        <v>0.92294678898076177</v>
      </c>
      <c r="BT326" s="4">
        <f>IF(Granger_Inventory[[#This Row],[decade]]="",1,_xlfn.IFNA(VLOOKUP(Granger_Inventory[[#This Row],[decade]],Lookups!$G$28:$I$42,3,FALSE),1))</f>
        <v>0.879441629375324</v>
      </c>
      <c r="BU326" s="4">
        <f>_xlfn.IFNA(VLOOKUP(Granger_Inventory[[#This Row],[living_area_range]],Lookups!$A$48:$C$57,3,FALSE),1)</f>
        <v>0.97960506760539345</v>
      </c>
      <c r="BV326" s="4">
        <f>AVERAGE(Granger_Inventory[[#This Row],[qual_adj]:[living_range_adj]])</f>
        <v>0.94114536123483994</v>
      </c>
      <c r="BW326" s="8">
        <f>(Granger_Inventory[[#This Row],[sum_land]]-IF(Granger_Inventory[[#This Row],[no_utilities]]=1,12000,0))/IF(Granger_Inventory[[#This Row],[unbuildable]]=1,2,1)</f>
        <v>32806.481099880541</v>
      </c>
      <c r="BX326" s="8">
        <f>Granger_Inventory[[#This Row],[pre_res]]*Granger_Inventory[[#This Row],[overall_adj]]</f>
        <v>138079.38068507679</v>
      </c>
      <c r="BY326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26">
        <f>ROUND(Granger_Inventory[[#This Row],[detatched_value]]*Lookups!$I$45,-2)</f>
        <v>24400</v>
      </c>
      <c r="CA326">
        <f>IF(ROUND(Granger_Inventory[[#This Row],[adj_res]]*Lookups!$I$45,-2)&lt;Granger_Inventory[[#This Row],[min_res]],Granger_Inventory[[#This Row],[min_res]],ROUND(Granger_Inventory[[#This Row],[adj_res]]*Lookups!$I$45,-2))</f>
        <v>131200</v>
      </c>
      <c r="CB326">
        <f>Granger_Inventory[[#This Row],[final_det]]+Granger_Inventory[[#This Row],[final_res]]</f>
        <v>155600</v>
      </c>
      <c r="CC326">
        <f>Granger_Inventory[[#This Row],[final_land]]+Granger_Inventory[[#This Row],[final_imp]]+Granger_Inventory[[#This Row],[crop_value]]</f>
        <v>186800</v>
      </c>
      <c r="CE326" t="str">
        <f t="shared" si="5"/>
        <v>update valuation set market_land =31200, market_bldg=155600, market_total =186800, market_mdno =402, market_date ='9/10/2023' where link_id = (select link_id from parcel where parcel_year = '2024' and parcel_id = '21102112464');</v>
      </c>
    </row>
    <row r="327" spans="1:83" x14ac:dyDescent="0.25">
      <c r="A327">
        <v>21102112474</v>
      </c>
      <c r="B327">
        <v>0.25</v>
      </c>
      <c r="C327">
        <v>10752</v>
      </c>
      <c r="D327" t="s">
        <v>137</v>
      </c>
      <c r="E327" t="s">
        <v>54</v>
      </c>
      <c r="F327" t="s">
        <v>54</v>
      </c>
      <c r="G327">
        <v>3</v>
      </c>
      <c r="H327" t="s">
        <v>55</v>
      </c>
      <c r="I327">
        <v>143100</v>
      </c>
      <c r="J327">
        <v>29300</v>
      </c>
      <c r="K327">
        <v>0.25</v>
      </c>
      <c r="L327">
        <f>IF(Granger_Inventory[[#This Row],[parcel_acres]]-Granger_Inventory[[#This Row],[non_valued_acres]] =0,0,LN(Granger_Inventory[[#This Row],[parcel_acres]]-Granger_Inventory[[#This Row],[non_valued_acres]]))</f>
        <v>-1.3862943611198906</v>
      </c>
      <c r="M327">
        <v>0</v>
      </c>
      <c r="N327">
        <v>0</v>
      </c>
      <c r="O327">
        <v>0</v>
      </c>
      <c r="P327">
        <v>47108.068500000001</v>
      </c>
      <c r="Q327">
        <v>122298</v>
      </c>
      <c r="R327">
        <f>(Granger_Inventory[[#This Row],[ln_acres]]*Granger_Inventory[[#This Row],[coeff]])+Granger_Inventory[[#This Row],[const]]</f>
        <v>56992.350275200457</v>
      </c>
      <c r="S327" t="s">
        <v>62</v>
      </c>
      <c r="T327">
        <v>2</v>
      </c>
      <c r="U327" t="s">
        <v>71</v>
      </c>
      <c r="V327" t="s">
        <v>77</v>
      </c>
      <c r="W327">
        <v>0</v>
      </c>
      <c r="X327">
        <v>0</v>
      </c>
      <c r="Y327">
        <v>49</v>
      </c>
      <c r="Z327">
        <v>68</v>
      </c>
      <c r="AA327">
        <v>70</v>
      </c>
      <c r="AB327">
        <v>1500</v>
      </c>
      <c r="AC327">
        <v>1130</v>
      </c>
      <c r="AD327">
        <v>830</v>
      </c>
      <c r="AE327">
        <v>300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130</v>
      </c>
      <c r="AP327">
        <v>5</v>
      </c>
      <c r="AQ327">
        <v>0</v>
      </c>
      <c r="AR327">
        <v>0</v>
      </c>
      <c r="AS327" t="s">
        <v>59</v>
      </c>
      <c r="AT327">
        <v>1</v>
      </c>
      <c r="AU327" t="s">
        <v>60</v>
      </c>
      <c r="AV327" t="s">
        <v>61</v>
      </c>
      <c r="AW327">
        <v>0</v>
      </c>
      <c r="AX327">
        <v>4</v>
      </c>
      <c r="AY327">
        <v>0</v>
      </c>
      <c r="AZ327">
        <v>0</v>
      </c>
      <c r="BA327">
        <v>100</v>
      </c>
      <c r="BB327">
        <v>100</v>
      </c>
      <c r="BC327">
        <v>100</v>
      </c>
      <c r="BD327">
        <v>100</v>
      </c>
      <c r="BE327">
        <v>1</v>
      </c>
      <c r="BF327">
        <v>15000</v>
      </c>
      <c r="BG327">
        <v>1000</v>
      </c>
      <c r="BH327" s="8">
        <f>Granger_Inventory[[#This Row],[land_extract]]*Lookups!$B$3</f>
        <v>33952.098423325391</v>
      </c>
      <c r="BI327" s="8">
        <f>IF(Granger_Inventory[[#This Row],[bldg_style]]="",0,Lookups!$B$2)</f>
        <v>29703.559000000001</v>
      </c>
      <c r="BJ327" s="8">
        <f>_xlfn.IFNA(VLOOKUP(Granger_Inventory[[#This Row],[quality]],Lookups!$H$2:$J$14,3,FALSE),0)</f>
        <v>34195</v>
      </c>
      <c r="BK327" s="8">
        <f>_xlfn.IFNA(VLOOKUP(Granger_Inventory[[#This Row],[condition]],Lookups!$H$17:$J$24,3,FALSE),0)</f>
        <v>33736</v>
      </c>
      <c r="BL327" s="8">
        <f>Granger_Inventory[[#This Row],[Age]]*Lookups!$B$16</f>
        <v>-14098.514799999999</v>
      </c>
      <c r="BM327" s="8">
        <f>Granger_Inventory[[#This Row],[living_area]]*Lookups!$B$17</f>
        <v>76018.387170000002</v>
      </c>
      <c r="BN327" s="8">
        <f>(Granger_Inventory[[#This Row],[att_gar]]+Granger_Inventory[[#This Row],[blt_gar]])*Lookups!$B$18</f>
        <v>0</v>
      </c>
      <c r="BO327" s="8">
        <f>Granger_Inventory[[#This Row],[Patio]]*Lookups!$B$19</f>
        <v>0</v>
      </c>
      <c r="BP327" s="8">
        <f>SUM(Granger_Inventory[[#This Row],[Intercept]:[Patio_Value]])*Granger_Inventory[[#This Row],[res_pct]]</f>
        <v>159554.43137000001</v>
      </c>
      <c r="BQ327" s="8">
        <f>Granger_Inventory[[#This Row],[land_value]]</f>
        <v>33952.098423325391</v>
      </c>
      <c r="BR327" s="4">
        <f>_xlfn.IFNA(VLOOKUP(Granger_Inventory[[#This Row],[quality]],Lookups!$A$25:$C$35,3,FALSE),1)</f>
        <v>0.98258795897788032</v>
      </c>
      <c r="BS327" s="4">
        <f>_xlfn.IFNA(VLOOKUP(Granger_Inventory[[#This Row],[condition]],Lookups!$A$38:$C$45,3,FALSE),1)</f>
        <v>0.92294678898076177</v>
      </c>
      <c r="BT327" s="4">
        <f>IF(Granger_Inventory[[#This Row],[decade]]="",1,_xlfn.IFNA(VLOOKUP(Granger_Inventory[[#This Row],[decade]],Lookups!$G$28:$I$42,3,FALSE),1))</f>
        <v>1.0270382440255921</v>
      </c>
      <c r="BU327" s="4">
        <f>_xlfn.IFNA(VLOOKUP(Granger_Inventory[[#This Row],[living_area_range]],Lookups!$A$48:$C$57,3,FALSE),1)</f>
        <v>0.97960506760539345</v>
      </c>
      <c r="BV327" s="4">
        <f>AVERAGE(Granger_Inventory[[#This Row],[qual_adj]:[living_range_adj]])</f>
        <v>0.97804451489740685</v>
      </c>
      <c r="BW327" s="8">
        <f>(Granger_Inventory[[#This Row],[sum_land]]-IF(Granger_Inventory[[#This Row],[no_utilities]]=1,12000,0))/IF(Granger_Inventory[[#This Row],[unbuildable]]=1,2,1)</f>
        <v>33952.098423325391</v>
      </c>
      <c r="BX327" s="8">
        <f>Granger_Inventory[[#This Row],[pre_res]]*Granger_Inventory[[#This Row],[overall_adj]]</f>
        <v>156051.33642900325</v>
      </c>
      <c r="BY327">
        <f>IF(ROUND(Granger_Inventory[[#This Row],[adj_land]]*Lookups!$I$45,-2)&lt;Granger_Inventory[[#This Row],[min_land]],Granger_Inventory[[#This Row],[min_land]],ROUND(Granger_Inventory[[#This Row],[adj_land]]*Lookups!$I$45,-2))</f>
        <v>32300</v>
      </c>
      <c r="BZ327">
        <f>ROUND(Granger_Inventory[[#This Row],[detatched_value]]*Lookups!$I$45,-2)</f>
        <v>0</v>
      </c>
      <c r="CA327">
        <f>IF(ROUND(Granger_Inventory[[#This Row],[adj_res]]*Lookups!$I$45,-2)&lt;Granger_Inventory[[#This Row],[min_res]],Granger_Inventory[[#This Row],[min_res]],ROUND(Granger_Inventory[[#This Row],[adj_res]]*Lookups!$I$45,-2))</f>
        <v>148200</v>
      </c>
      <c r="CB327">
        <f>Granger_Inventory[[#This Row],[final_det]]+Granger_Inventory[[#This Row],[final_res]]</f>
        <v>148200</v>
      </c>
      <c r="CC327">
        <f>Granger_Inventory[[#This Row],[final_land]]+Granger_Inventory[[#This Row],[final_imp]]+Granger_Inventory[[#This Row],[crop_value]]</f>
        <v>180500</v>
      </c>
      <c r="CE327" t="str">
        <f t="shared" si="5"/>
        <v>update valuation set market_land =32300, market_bldg=148200, market_total =180500, market_mdno =402, market_date ='9/10/2023' where link_id = (select link_id from parcel where parcel_year = '2024' and parcel_id = '21102112474');</v>
      </c>
    </row>
    <row r="328" spans="1:83" x14ac:dyDescent="0.25">
      <c r="A328">
        <v>21102112476</v>
      </c>
      <c r="B328">
        <v>0.13</v>
      </c>
      <c r="C328">
        <v>5660</v>
      </c>
      <c r="D328" t="s">
        <v>137</v>
      </c>
      <c r="E328" t="s">
        <v>54</v>
      </c>
      <c r="F328" t="s">
        <v>54</v>
      </c>
      <c r="G328">
        <v>3</v>
      </c>
      <c r="H328" t="s">
        <v>55</v>
      </c>
      <c r="I328">
        <v>49800</v>
      </c>
      <c r="J328">
        <v>25500</v>
      </c>
      <c r="K328">
        <v>0.13</v>
      </c>
      <c r="L328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28">
        <v>0</v>
      </c>
      <c r="N328">
        <v>0</v>
      </c>
      <c r="O328">
        <v>0</v>
      </c>
      <c r="P328">
        <v>47108.068500000001</v>
      </c>
      <c r="Q328">
        <v>122298</v>
      </c>
      <c r="R328">
        <f>(Granger_Inventory[[#This Row],[ln_acres]]*Granger_Inventory[[#This Row],[coeff]])+Granger_Inventory[[#This Row],[const]]</f>
        <v>26187.137454644311</v>
      </c>
      <c r="S328" t="s">
        <v>69</v>
      </c>
      <c r="T328">
        <v>1</v>
      </c>
      <c r="U328" t="s">
        <v>71</v>
      </c>
      <c r="V328" t="s">
        <v>77</v>
      </c>
      <c r="W328">
        <v>0</v>
      </c>
      <c r="X328">
        <v>0</v>
      </c>
      <c r="Y328">
        <v>52</v>
      </c>
      <c r="Z328">
        <v>88</v>
      </c>
      <c r="AA328">
        <v>90</v>
      </c>
      <c r="AB328">
        <v>1000</v>
      </c>
      <c r="AC328">
        <v>592</v>
      </c>
      <c r="AD328">
        <v>592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276</v>
      </c>
      <c r="AK328">
        <v>0</v>
      </c>
      <c r="AL328">
        <v>240</v>
      </c>
      <c r="AM328">
        <v>0</v>
      </c>
      <c r="AN328">
        <v>18</v>
      </c>
      <c r="AO328">
        <v>0</v>
      </c>
      <c r="AP328">
        <v>5</v>
      </c>
      <c r="AQ328">
        <v>0</v>
      </c>
      <c r="AR328">
        <v>0</v>
      </c>
      <c r="AS328" t="s">
        <v>59</v>
      </c>
      <c r="AT328">
        <v>1</v>
      </c>
      <c r="AU328" t="s">
        <v>60</v>
      </c>
      <c r="AV328" t="s">
        <v>145</v>
      </c>
      <c r="AW328">
        <v>0</v>
      </c>
      <c r="AX328">
        <v>1</v>
      </c>
      <c r="AY328">
        <v>0</v>
      </c>
      <c r="AZ328">
        <v>0</v>
      </c>
      <c r="BA328">
        <v>100</v>
      </c>
      <c r="BB328">
        <v>100</v>
      </c>
      <c r="BC328">
        <v>100</v>
      </c>
      <c r="BD328">
        <v>100</v>
      </c>
      <c r="BE328">
        <v>1</v>
      </c>
      <c r="BF328">
        <v>15000</v>
      </c>
      <c r="BG328">
        <v>1000</v>
      </c>
      <c r="BH328" s="8">
        <f>Granger_Inventory[[#This Row],[land_extract]]*Lookups!$B$3</f>
        <v>15600.484345565219</v>
      </c>
      <c r="BI328" s="8">
        <f>IF(Granger_Inventory[[#This Row],[bldg_style]]="",0,Lookups!$B$2)</f>
        <v>29703.559000000001</v>
      </c>
      <c r="BJ328" s="8">
        <f>_xlfn.IFNA(VLOOKUP(Granger_Inventory[[#This Row],[quality]],Lookups!$H$2:$J$14,3,FALSE),0)</f>
        <v>34195</v>
      </c>
      <c r="BK328" s="8">
        <f>_xlfn.IFNA(VLOOKUP(Granger_Inventory[[#This Row],[condition]],Lookups!$H$17:$J$24,3,FALSE),0)</f>
        <v>33736</v>
      </c>
      <c r="BL328" s="8">
        <f>Granger_Inventory[[#This Row],[Age]]*Lookups!$B$16</f>
        <v>-18245.1368</v>
      </c>
      <c r="BM328" s="8">
        <f>Granger_Inventory[[#This Row],[living_area]]*Lookups!$B$17</f>
        <v>39825.562127999998</v>
      </c>
      <c r="BN328" s="8">
        <f>(Granger_Inventory[[#This Row],[att_gar]]+Granger_Inventory[[#This Row],[blt_gar]])*Lookups!$B$18</f>
        <v>13371.533736000001</v>
      </c>
      <c r="BO328" s="8">
        <f>Granger_Inventory[[#This Row],[Patio]]*Lookups!$B$19</f>
        <v>0</v>
      </c>
      <c r="BP328" s="8">
        <f>SUM(Granger_Inventory[[#This Row],[Intercept]:[Patio_Value]])*Granger_Inventory[[#This Row],[res_pct]]</f>
        <v>132586.518064</v>
      </c>
      <c r="BQ328" s="8">
        <f>Granger_Inventory[[#This Row],[land_value]]</f>
        <v>15600.484345565219</v>
      </c>
      <c r="BR328" s="4">
        <f>_xlfn.IFNA(VLOOKUP(Granger_Inventory[[#This Row],[quality]],Lookups!$A$25:$C$35,3,FALSE),1)</f>
        <v>0.98258795897788032</v>
      </c>
      <c r="BS328" s="4">
        <f>_xlfn.IFNA(VLOOKUP(Granger_Inventory[[#This Row],[condition]],Lookups!$A$38:$C$45,3,FALSE),1)</f>
        <v>0.92294678898076177</v>
      </c>
      <c r="BT328" s="4">
        <f>IF(Granger_Inventory[[#This Row],[decade]]="",1,_xlfn.IFNA(VLOOKUP(Granger_Inventory[[#This Row],[decade]],Lookups!$G$28:$I$42,3,FALSE),1))</f>
        <v>0.95234610137492615</v>
      </c>
      <c r="BU328" s="4">
        <f>_xlfn.IFNA(VLOOKUP(Granger_Inventory[[#This Row],[living_area_range]],Lookups!$A$48:$C$57,3,FALSE),1)</f>
        <v>0.81272404900450645</v>
      </c>
      <c r="BV328" s="4">
        <f>AVERAGE(Granger_Inventory[[#This Row],[qual_adj]:[living_range_adj]])</f>
        <v>0.91765122458451864</v>
      </c>
      <c r="BW328" s="8">
        <f>(Granger_Inventory[[#This Row],[sum_land]]-IF(Granger_Inventory[[#This Row],[no_utilities]]=1,12000,0))/IF(Granger_Inventory[[#This Row],[unbuildable]]=1,2,1)</f>
        <v>15600.484345565219</v>
      </c>
      <c r="BX328" s="8">
        <f>Granger_Inventory[[#This Row],[pre_res]]*Granger_Inventory[[#This Row],[overall_adj]]</f>
        <v>121668.180664827</v>
      </c>
      <c r="BY328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28">
        <f>ROUND(Granger_Inventory[[#This Row],[detatched_value]]*Lookups!$I$45,-2)</f>
        <v>0</v>
      </c>
      <c r="CA328">
        <f>IF(ROUND(Granger_Inventory[[#This Row],[adj_res]]*Lookups!$I$45,-2)&lt;Granger_Inventory[[#This Row],[min_res]],Granger_Inventory[[#This Row],[min_res]],ROUND(Granger_Inventory[[#This Row],[adj_res]]*Lookups!$I$45,-2))</f>
        <v>115600</v>
      </c>
      <c r="CB328">
        <f>Granger_Inventory[[#This Row],[final_det]]+Granger_Inventory[[#This Row],[final_res]]</f>
        <v>115600</v>
      </c>
      <c r="CC328">
        <f>Granger_Inventory[[#This Row],[final_land]]+Granger_Inventory[[#This Row],[final_imp]]+Granger_Inventory[[#This Row],[crop_value]]</f>
        <v>130600</v>
      </c>
      <c r="CE328" t="str">
        <f t="shared" si="5"/>
        <v>update valuation set market_land =15000, market_bldg=115600, market_total =130600, market_mdno =402, market_date ='9/10/2023' where link_id = (select link_id from parcel where parcel_year = '2024' and parcel_id = '21102112476');</v>
      </c>
    </row>
    <row r="329" spans="1:83" x14ac:dyDescent="0.25">
      <c r="A329">
        <v>21102112477</v>
      </c>
      <c r="B329">
        <v>0.17</v>
      </c>
      <c r="C329" t="s">
        <v>137</v>
      </c>
      <c r="D329" t="s">
        <v>137</v>
      </c>
      <c r="E329" t="s">
        <v>54</v>
      </c>
      <c r="F329" t="s">
        <v>54</v>
      </c>
      <c r="G329">
        <v>3</v>
      </c>
      <c r="H329" t="s">
        <v>55</v>
      </c>
      <c r="I329">
        <v>93900</v>
      </c>
      <c r="J329">
        <v>27100</v>
      </c>
      <c r="K329">
        <v>0.17</v>
      </c>
      <c r="L329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29">
        <v>0</v>
      </c>
      <c r="N329">
        <v>0</v>
      </c>
      <c r="O329">
        <v>0</v>
      </c>
      <c r="P329">
        <v>47108.068500000001</v>
      </c>
      <c r="Q329">
        <v>122298</v>
      </c>
      <c r="R329">
        <f>(Granger_Inventory[[#This Row],[ln_acres]]*Granger_Inventory[[#This Row],[coeff]])+Granger_Inventory[[#This Row],[const]]</f>
        <v>38824.535711229546</v>
      </c>
      <c r="S329" t="s">
        <v>56</v>
      </c>
      <c r="T329">
        <v>1</v>
      </c>
      <c r="U329" t="s">
        <v>64</v>
      </c>
      <c r="V329" t="s">
        <v>77</v>
      </c>
      <c r="W329">
        <v>0</v>
      </c>
      <c r="X329">
        <v>0</v>
      </c>
      <c r="Y329">
        <v>49</v>
      </c>
      <c r="Z329">
        <v>68</v>
      </c>
      <c r="AA329">
        <v>70</v>
      </c>
      <c r="AB329">
        <v>1000</v>
      </c>
      <c r="AC329">
        <v>976</v>
      </c>
      <c r="AD329">
        <v>976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5</v>
      </c>
      <c r="AQ329">
        <v>0</v>
      </c>
      <c r="AR329">
        <v>0</v>
      </c>
      <c r="AS329" t="s">
        <v>59</v>
      </c>
      <c r="AT329">
        <v>1</v>
      </c>
      <c r="AU329" t="s">
        <v>60</v>
      </c>
      <c r="AV329" t="s">
        <v>61</v>
      </c>
      <c r="AW329">
        <v>1</v>
      </c>
      <c r="AX329">
        <v>2</v>
      </c>
      <c r="AY329">
        <v>0</v>
      </c>
      <c r="AZ329">
        <v>13100</v>
      </c>
      <c r="BA329">
        <v>100</v>
      </c>
      <c r="BB329">
        <v>100</v>
      </c>
      <c r="BC329">
        <v>100</v>
      </c>
      <c r="BD329">
        <v>100</v>
      </c>
      <c r="BE329">
        <v>1</v>
      </c>
      <c r="BF329">
        <v>15000</v>
      </c>
      <c r="BG329">
        <v>1000</v>
      </c>
      <c r="BH329" s="8">
        <f>Granger_Inventory[[#This Row],[land_extract]]*Lookups!$B$3</f>
        <v>23128.971718879347</v>
      </c>
      <c r="BI329" s="8">
        <f>IF(Granger_Inventory[[#This Row],[bldg_style]]="",0,Lookups!$B$2)</f>
        <v>29703.559000000001</v>
      </c>
      <c r="BJ329" s="8">
        <f>_xlfn.IFNA(VLOOKUP(Granger_Inventory[[#This Row],[quality]],Lookups!$H$2:$J$14,3,FALSE),0)</f>
        <v>36568</v>
      </c>
      <c r="BK329" s="8">
        <f>_xlfn.IFNA(VLOOKUP(Granger_Inventory[[#This Row],[condition]],Lookups!$H$17:$J$24,3,FALSE),0)</f>
        <v>33736</v>
      </c>
      <c r="BL329" s="8">
        <f>Granger_Inventory[[#This Row],[Age]]*Lookups!$B$16</f>
        <v>-14098.514799999999</v>
      </c>
      <c r="BM329" s="8">
        <f>Granger_Inventory[[#This Row],[living_area]]*Lookups!$B$17</f>
        <v>65658.359184000001</v>
      </c>
      <c r="BN329" s="8">
        <f>(Granger_Inventory[[#This Row],[att_gar]]+Granger_Inventory[[#This Row],[blt_gar]])*Lookups!$B$18</f>
        <v>0</v>
      </c>
      <c r="BO329" s="8">
        <f>Granger_Inventory[[#This Row],[Patio]]*Lookups!$B$19</f>
        <v>0</v>
      </c>
      <c r="BP329" s="8">
        <f>SUM(Granger_Inventory[[#This Row],[Intercept]:[Patio_Value]])*Granger_Inventory[[#This Row],[res_pct]]</f>
        <v>151567.403384</v>
      </c>
      <c r="BQ329" s="8">
        <f>Granger_Inventory[[#This Row],[land_value]]</f>
        <v>23128.971718879347</v>
      </c>
      <c r="BR329" s="4">
        <f>_xlfn.IFNA(VLOOKUP(Granger_Inventory[[#This Row],[quality]],Lookups!$A$25:$C$35,3,FALSE),1)</f>
        <v>0.99049976351917957</v>
      </c>
      <c r="BS329" s="4">
        <f>_xlfn.IFNA(VLOOKUP(Granger_Inventory[[#This Row],[condition]],Lookups!$A$38:$C$45,3,FALSE),1)</f>
        <v>0.92294678898076177</v>
      </c>
      <c r="BT329" s="4">
        <f>IF(Granger_Inventory[[#This Row],[decade]]="",1,_xlfn.IFNA(VLOOKUP(Granger_Inventory[[#This Row],[decade]],Lookups!$G$28:$I$42,3,FALSE),1))</f>
        <v>1.0270382440255921</v>
      </c>
      <c r="BU329" s="4">
        <f>_xlfn.IFNA(VLOOKUP(Granger_Inventory[[#This Row],[living_area_range]],Lookups!$A$48:$C$57,3,FALSE),1)</f>
        <v>0.81272404900450645</v>
      </c>
      <c r="BV329" s="4">
        <f>AVERAGE(Granger_Inventory[[#This Row],[qual_adj]:[living_range_adj]])</f>
        <v>0.93830221138250991</v>
      </c>
      <c r="BW329" s="8">
        <f>(Granger_Inventory[[#This Row],[sum_land]]-IF(Granger_Inventory[[#This Row],[no_utilities]]=1,12000,0))/IF(Granger_Inventory[[#This Row],[unbuildable]]=1,2,1)</f>
        <v>23128.971718879347</v>
      </c>
      <c r="BX329" s="8">
        <f>Granger_Inventory[[#This Row],[pre_res]]*Granger_Inventory[[#This Row],[overall_adj]]</f>
        <v>142216.02976871212</v>
      </c>
      <c r="BY329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29">
        <f>ROUND(Granger_Inventory[[#This Row],[detatched_value]]*Lookups!$I$45,-2)</f>
        <v>12400</v>
      </c>
      <c r="CA329">
        <f>IF(ROUND(Granger_Inventory[[#This Row],[adj_res]]*Lookups!$I$45,-2)&lt;Granger_Inventory[[#This Row],[min_res]],Granger_Inventory[[#This Row],[min_res]],ROUND(Granger_Inventory[[#This Row],[adj_res]]*Lookups!$I$45,-2))</f>
        <v>135100</v>
      </c>
      <c r="CB329">
        <f>Granger_Inventory[[#This Row],[final_det]]+Granger_Inventory[[#This Row],[final_res]]</f>
        <v>147500</v>
      </c>
      <c r="CC329">
        <f>Granger_Inventory[[#This Row],[final_land]]+Granger_Inventory[[#This Row],[final_imp]]+Granger_Inventory[[#This Row],[crop_value]]</f>
        <v>169500</v>
      </c>
      <c r="CE329" t="str">
        <f t="shared" si="5"/>
        <v>update valuation set market_land =22000, market_bldg=147500, market_total =169500, market_mdno =402, market_date ='9/10/2023' where link_id = (select link_id from parcel where parcel_year = '2024' and parcel_id = '21102112477');</v>
      </c>
    </row>
    <row r="330" spans="1:83" x14ac:dyDescent="0.25">
      <c r="A330">
        <v>21102112478</v>
      </c>
      <c r="B330">
        <v>0.28999999999999998</v>
      </c>
      <c r="C330">
        <v>12835</v>
      </c>
      <c r="D330" t="s">
        <v>137</v>
      </c>
      <c r="E330" t="s">
        <v>54</v>
      </c>
      <c r="F330" t="s">
        <v>54</v>
      </c>
      <c r="G330">
        <v>3</v>
      </c>
      <c r="H330" t="s">
        <v>55</v>
      </c>
      <c r="I330">
        <v>179400</v>
      </c>
      <c r="J330">
        <v>30200</v>
      </c>
      <c r="K330">
        <v>0.28999999999999998</v>
      </c>
      <c r="L330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330">
        <v>0</v>
      </c>
      <c r="N330">
        <v>0</v>
      </c>
      <c r="O330">
        <v>0</v>
      </c>
      <c r="P330">
        <v>47108.068500000001</v>
      </c>
      <c r="Q330">
        <v>122298</v>
      </c>
      <c r="R330">
        <f>(Granger_Inventory[[#This Row],[ln_acres]]*Granger_Inventory[[#This Row],[coeff]])+Granger_Inventory[[#This Row],[const]]</f>
        <v>63984.130043082419</v>
      </c>
      <c r="S330" t="s">
        <v>56</v>
      </c>
      <c r="T330">
        <v>1</v>
      </c>
      <c r="U330" t="s">
        <v>64</v>
      </c>
      <c r="V330" t="s">
        <v>77</v>
      </c>
      <c r="W330">
        <v>0</v>
      </c>
      <c r="X330">
        <v>0</v>
      </c>
      <c r="Y330">
        <v>48</v>
      </c>
      <c r="Z330">
        <v>63</v>
      </c>
      <c r="AA330">
        <v>70</v>
      </c>
      <c r="AB330">
        <v>2000</v>
      </c>
      <c r="AC330">
        <v>1714</v>
      </c>
      <c r="AD330">
        <v>1374</v>
      </c>
      <c r="AE330">
        <v>0</v>
      </c>
      <c r="AF330">
        <v>0</v>
      </c>
      <c r="AG330">
        <v>340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9</v>
      </c>
      <c r="AQ330">
        <v>0</v>
      </c>
      <c r="AR330">
        <v>0</v>
      </c>
      <c r="AS330" t="s">
        <v>59</v>
      </c>
      <c r="AT330">
        <v>1</v>
      </c>
      <c r="AU330" t="s">
        <v>60</v>
      </c>
      <c r="AV330" t="s">
        <v>65</v>
      </c>
      <c r="AW330">
        <v>0</v>
      </c>
      <c r="AX330">
        <v>3</v>
      </c>
      <c r="AY330">
        <v>0</v>
      </c>
      <c r="AZ330">
        <v>14800</v>
      </c>
      <c r="BA330">
        <v>100</v>
      </c>
      <c r="BB330">
        <v>100</v>
      </c>
      <c r="BC330">
        <v>100</v>
      </c>
      <c r="BD330">
        <v>100</v>
      </c>
      <c r="BE330">
        <v>1</v>
      </c>
      <c r="BF330">
        <v>15000</v>
      </c>
      <c r="BG330">
        <v>1000</v>
      </c>
      <c r="BH330" s="8">
        <f>Granger_Inventory[[#This Row],[land_extract]]*Lookups!$B$3</f>
        <v>38117.316977869523</v>
      </c>
      <c r="BI330" s="8">
        <f>IF(Granger_Inventory[[#This Row],[bldg_style]]="",0,Lookups!$B$2)</f>
        <v>29703.559000000001</v>
      </c>
      <c r="BJ330" s="8">
        <f>_xlfn.IFNA(VLOOKUP(Granger_Inventory[[#This Row],[quality]],Lookups!$H$2:$J$14,3,FALSE),0)</f>
        <v>36568</v>
      </c>
      <c r="BK330" s="8">
        <f>_xlfn.IFNA(VLOOKUP(Granger_Inventory[[#This Row],[condition]],Lookups!$H$17:$J$24,3,FALSE),0)</f>
        <v>33736</v>
      </c>
      <c r="BL330" s="8">
        <f>Granger_Inventory[[#This Row],[Age]]*Lookups!$B$16</f>
        <v>-13061.8593</v>
      </c>
      <c r="BM330" s="8">
        <f>Granger_Inventory[[#This Row],[living_area]]*Lookups!$B$17</f>
        <v>115305.766026</v>
      </c>
      <c r="BN330" s="8">
        <f>(Granger_Inventory[[#This Row],[att_gar]]+Granger_Inventory[[#This Row],[blt_gar]])*Lookups!$B$18</f>
        <v>0</v>
      </c>
      <c r="BO330" s="8">
        <f>Granger_Inventory[[#This Row],[Patio]]*Lookups!$B$19</f>
        <v>0</v>
      </c>
      <c r="BP330" s="8">
        <f>SUM(Granger_Inventory[[#This Row],[Intercept]:[Patio_Value]])*Granger_Inventory[[#This Row],[res_pct]]</f>
        <v>202251.46572600002</v>
      </c>
      <c r="BQ330" s="8">
        <f>Granger_Inventory[[#This Row],[land_value]]</f>
        <v>38117.316977869523</v>
      </c>
      <c r="BR330" s="4">
        <f>_xlfn.IFNA(VLOOKUP(Granger_Inventory[[#This Row],[quality]],Lookups!$A$25:$C$35,3,FALSE),1)</f>
        <v>0.99049976351917957</v>
      </c>
      <c r="BS330" s="4">
        <f>_xlfn.IFNA(VLOOKUP(Granger_Inventory[[#This Row],[condition]],Lookups!$A$38:$C$45,3,FALSE),1)</f>
        <v>0.92294678898076177</v>
      </c>
      <c r="BT330" s="4">
        <f>IF(Granger_Inventory[[#This Row],[decade]]="",1,_xlfn.IFNA(VLOOKUP(Granger_Inventory[[#This Row],[decade]],Lookups!$G$28:$I$42,3,FALSE),1))</f>
        <v>1.0270382440255921</v>
      </c>
      <c r="BU330" s="4">
        <f>_xlfn.IFNA(VLOOKUP(Granger_Inventory[[#This Row],[living_area_range]],Lookups!$A$48:$C$57,3,FALSE),1)</f>
        <v>0.97860968051050168</v>
      </c>
      <c r="BV330" s="4">
        <f>AVERAGE(Granger_Inventory[[#This Row],[qual_adj]:[living_range_adj]])</f>
        <v>0.97977361925900874</v>
      </c>
      <c r="BW330" s="8">
        <f>(Granger_Inventory[[#This Row],[sum_land]]-IF(Granger_Inventory[[#This Row],[no_utilities]]=1,12000,0))/IF(Granger_Inventory[[#This Row],[unbuildable]]=1,2,1)</f>
        <v>38117.316977869523</v>
      </c>
      <c r="BX330" s="8">
        <f>Granger_Inventory[[#This Row],[pre_res]]*Granger_Inventory[[#This Row],[overall_adj]]</f>
        <v>198160.65057480239</v>
      </c>
      <c r="BY330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330">
        <f>ROUND(Granger_Inventory[[#This Row],[detatched_value]]*Lookups!$I$45,-2)</f>
        <v>14100</v>
      </c>
      <c r="CA330">
        <f>IF(ROUND(Granger_Inventory[[#This Row],[adj_res]]*Lookups!$I$45,-2)&lt;Granger_Inventory[[#This Row],[min_res]],Granger_Inventory[[#This Row],[min_res]],ROUND(Granger_Inventory[[#This Row],[adj_res]]*Lookups!$I$45,-2))</f>
        <v>188300</v>
      </c>
      <c r="CB330">
        <f>Granger_Inventory[[#This Row],[final_det]]+Granger_Inventory[[#This Row],[final_res]]</f>
        <v>202400</v>
      </c>
      <c r="CC330">
        <f>Granger_Inventory[[#This Row],[final_land]]+Granger_Inventory[[#This Row],[final_imp]]+Granger_Inventory[[#This Row],[crop_value]]</f>
        <v>238600</v>
      </c>
      <c r="CE330" t="str">
        <f t="shared" si="5"/>
        <v>update valuation set market_land =36200, market_bldg=202400, market_total =238600, market_mdno =402, market_date ='9/10/2023' where link_id = (select link_id from parcel where parcel_year = '2024' and parcel_id = '21102112478');</v>
      </c>
    </row>
    <row r="331" spans="1:83" x14ac:dyDescent="0.25">
      <c r="A331">
        <v>21102112479</v>
      </c>
      <c r="B331">
        <v>0.14000000000000001</v>
      </c>
      <c r="C331">
        <v>6183</v>
      </c>
      <c r="D331" t="s">
        <v>137</v>
      </c>
      <c r="E331" t="s">
        <v>54</v>
      </c>
      <c r="F331" t="s">
        <v>54</v>
      </c>
      <c r="G331">
        <v>3</v>
      </c>
      <c r="H331" t="s">
        <v>55</v>
      </c>
      <c r="I331">
        <v>48600</v>
      </c>
      <c r="J331">
        <v>25900</v>
      </c>
      <c r="K331">
        <v>0.14000000000000001</v>
      </c>
      <c r="L33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31">
        <v>0</v>
      </c>
      <c r="N331">
        <v>0</v>
      </c>
      <c r="O331">
        <v>0</v>
      </c>
      <c r="P331">
        <v>47108.068500000001</v>
      </c>
      <c r="Q331">
        <v>122298</v>
      </c>
      <c r="R331">
        <f>(Granger_Inventory[[#This Row],[ln_acres]]*Granger_Inventory[[#This Row],[coeff]])+Granger_Inventory[[#This Row],[const]]</f>
        <v>29678.220883257934</v>
      </c>
      <c r="S331" t="s">
        <v>69</v>
      </c>
      <c r="T331">
        <v>1</v>
      </c>
      <c r="U331" t="s">
        <v>78</v>
      </c>
      <c r="V331" t="s">
        <v>77</v>
      </c>
      <c r="W331">
        <v>0</v>
      </c>
      <c r="X331">
        <v>0</v>
      </c>
      <c r="Y331">
        <v>55</v>
      </c>
      <c r="Z331">
        <v>98</v>
      </c>
      <c r="AA331">
        <v>100</v>
      </c>
      <c r="AB331">
        <v>1000</v>
      </c>
      <c r="AC331">
        <v>776</v>
      </c>
      <c r="AD331">
        <v>776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60</v>
      </c>
      <c r="AO331">
        <v>0</v>
      </c>
      <c r="AP331">
        <v>5</v>
      </c>
      <c r="AQ331">
        <v>0</v>
      </c>
      <c r="AR331">
        <v>0</v>
      </c>
      <c r="AS331" t="s">
        <v>59</v>
      </c>
      <c r="AT331">
        <v>1</v>
      </c>
      <c r="AU331" t="s">
        <v>60</v>
      </c>
      <c r="AV331" t="s">
        <v>65</v>
      </c>
      <c r="AW331">
        <v>0</v>
      </c>
      <c r="AX331">
        <v>2</v>
      </c>
      <c r="AY331">
        <v>0</v>
      </c>
      <c r="AZ331">
        <v>0</v>
      </c>
      <c r="BA331">
        <v>100</v>
      </c>
      <c r="BB331">
        <v>100</v>
      </c>
      <c r="BC331">
        <v>100</v>
      </c>
      <c r="BD331">
        <v>100</v>
      </c>
      <c r="BE331">
        <v>1</v>
      </c>
      <c r="BF331">
        <v>15000</v>
      </c>
      <c r="BG331">
        <v>1000</v>
      </c>
      <c r="BH331" s="8">
        <f>Granger_Inventory[[#This Row],[land_extract]]*Lookups!$B$3</f>
        <v>17680.230269359956</v>
      </c>
      <c r="BI331" s="8">
        <f>IF(Granger_Inventory[[#This Row],[bldg_style]]="",0,Lookups!$B$2)</f>
        <v>29703.559000000001</v>
      </c>
      <c r="BJ331" s="8">
        <f>_xlfn.IFNA(VLOOKUP(Granger_Inventory[[#This Row],[quality]],Lookups!$H$2:$J$14,3,FALSE),0)</f>
        <v>23737.786340274597</v>
      </c>
      <c r="BK331" s="8">
        <f>_xlfn.IFNA(VLOOKUP(Granger_Inventory[[#This Row],[condition]],Lookups!$H$17:$J$24,3,FALSE),0)</f>
        <v>33736</v>
      </c>
      <c r="BL331" s="8">
        <f>Granger_Inventory[[#This Row],[Age]]*Lookups!$B$16</f>
        <v>-20318.447799999998</v>
      </c>
      <c r="BM331" s="8">
        <f>Granger_Inventory[[#This Row],[living_area]]*Lookups!$B$17</f>
        <v>52203.777384000001</v>
      </c>
      <c r="BN331" s="8">
        <f>(Granger_Inventory[[#This Row],[att_gar]]+Granger_Inventory[[#This Row],[blt_gar]])*Lookups!$B$18</f>
        <v>0</v>
      </c>
      <c r="BO331" s="8">
        <f>Granger_Inventory[[#This Row],[Patio]]*Lookups!$B$19</f>
        <v>0</v>
      </c>
      <c r="BP331" s="8">
        <f>SUM(Granger_Inventory[[#This Row],[Intercept]:[Patio_Value]])*Granger_Inventory[[#This Row],[res_pct]]</f>
        <v>119062.6749242746</v>
      </c>
      <c r="BQ331" s="8">
        <f>Granger_Inventory[[#This Row],[land_value]]</f>
        <v>17680.230269359956</v>
      </c>
      <c r="BR331" s="4">
        <f>_xlfn.IFNA(VLOOKUP(Granger_Inventory[[#This Row],[quality]],Lookups!$A$25:$C$35,3,FALSE),1)</f>
        <v>0.77695375541795109</v>
      </c>
      <c r="BS331" s="4">
        <f>_xlfn.IFNA(VLOOKUP(Granger_Inventory[[#This Row],[condition]],Lookups!$A$38:$C$45,3,FALSE),1)</f>
        <v>0.92294678898076177</v>
      </c>
      <c r="BT331" s="4">
        <f>IF(Granger_Inventory[[#This Row],[decade]]="",1,_xlfn.IFNA(VLOOKUP(Granger_Inventory[[#This Row],[decade]],Lookups!$G$28:$I$42,3,FALSE),1))</f>
        <v>0.879441629375324</v>
      </c>
      <c r="BU331" s="4">
        <f>_xlfn.IFNA(VLOOKUP(Granger_Inventory[[#This Row],[living_area_range]],Lookups!$A$48:$C$57,3,FALSE),1)</f>
        <v>0.81272404900450645</v>
      </c>
      <c r="BV331" s="4">
        <f>AVERAGE(Granger_Inventory[[#This Row],[qual_adj]:[living_range_adj]])</f>
        <v>0.84801655569463574</v>
      </c>
      <c r="BW331" s="8">
        <f>(Granger_Inventory[[#This Row],[sum_land]]-IF(Granger_Inventory[[#This Row],[no_utilities]]=1,12000,0))/IF(Granger_Inventory[[#This Row],[unbuildable]]=1,2,1)</f>
        <v>17680.230269359956</v>
      </c>
      <c r="BX331" s="8">
        <f>Granger_Inventory[[#This Row],[pre_res]]*Granger_Inventory[[#This Row],[overall_adj]]</f>
        <v>100967.11950107342</v>
      </c>
      <c r="BY33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31">
        <f>ROUND(Granger_Inventory[[#This Row],[detatched_value]]*Lookups!$I$45,-2)</f>
        <v>0</v>
      </c>
      <c r="CA331">
        <f>IF(ROUND(Granger_Inventory[[#This Row],[adj_res]]*Lookups!$I$45,-2)&lt;Granger_Inventory[[#This Row],[min_res]],Granger_Inventory[[#This Row],[min_res]],ROUND(Granger_Inventory[[#This Row],[adj_res]]*Lookups!$I$45,-2))</f>
        <v>95900</v>
      </c>
      <c r="CB331">
        <f>Granger_Inventory[[#This Row],[final_det]]+Granger_Inventory[[#This Row],[final_res]]</f>
        <v>95900</v>
      </c>
      <c r="CC331">
        <f>Granger_Inventory[[#This Row],[final_land]]+Granger_Inventory[[#This Row],[final_imp]]+Granger_Inventory[[#This Row],[crop_value]]</f>
        <v>112700</v>
      </c>
      <c r="CE331" t="str">
        <f t="shared" si="5"/>
        <v>update valuation set market_land =16800, market_bldg=95900, market_total =112700, market_mdno =402, market_date ='9/10/2023' where link_id = (select link_id from parcel where parcel_year = '2024' and parcel_id = '21102112479');</v>
      </c>
    </row>
    <row r="332" spans="1:83" x14ac:dyDescent="0.25">
      <c r="A332">
        <v>21102112480</v>
      </c>
      <c r="B332">
        <v>0.17</v>
      </c>
      <c r="C332">
        <v>7343</v>
      </c>
      <c r="D332" t="s">
        <v>137</v>
      </c>
      <c r="E332" t="s">
        <v>54</v>
      </c>
      <c r="F332" t="s">
        <v>54</v>
      </c>
      <c r="G332">
        <v>3</v>
      </c>
      <c r="H332" t="s">
        <v>55</v>
      </c>
      <c r="I332">
        <v>79200</v>
      </c>
      <c r="J332">
        <v>27100</v>
      </c>
      <c r="K332">
        <v>0.17</v>
      </c>
      <c r="L332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32">
        <v>0</v>
      </c>
      <c r="N332">
        <v>0</v>
      </c>
      <c r="O332">
        <v>0</v>
      </c>
      <c r="P332">
        <v>47108.068500000001</v>
      </c>
      <c r="Q332">
        <v>122298</v>
      </c>
      <c r="R332">
        <f>(Granger_Inventory[[#This Row],[ln_acres]]*Granger_Inventory[[#This Row],[coeff]])+Granger_Inventory[[#This Row],[const]]</f>
        <v>38824.535711229546</v>
      </c>
      <c r="S332" t="s">
        <v>69</v>
      </c>
      <c r="T332">
        <v>1</v>
      </c>
      <c r="U332" t="s">
        <v>71</v>
      </c>
      <c r="V332" t="s">
        <v>77</v>
      </c>
      <c r="W332">
        <v>0</v>
      </c>
      <c r="X332">
        <v>0</v>
      </c>
      <c r="Y332">
        <v>51</v>
      </c>
      <c r="Z332">
        <v>78</v>
      </c>
      <c r="AA332">
        <v>80</v>
      </c>
      <c r="AB332">
        <v>1500</v>
      </c>
      <c r="AC332">
        <v>1142</v>
      </c>
      <c r="AD332">
        <v>1142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8</v>
      </c>
      <c r="AO332">
        <v>0</v>
      </c>
      <c r="AP332">
        <v>5</v>
      </c>
      <c r="AQ332">
        <v>0</v>
      </c>
      <c r="AR332">
        <v>0</v>
      </c>
      <c r="AS332" t="s">
        <v>59</v>
      </c>
      <c r="AT332">
        <v>1</v>
      </c>
      <c r="AU332" t="s">
        <v>60</v>
      </c>
      <c r="AV332" t="s">
        <v>65</v>
      </c>
      <c r="AW332">
        <v>0</v>
      </c>
      <c r="AX332">
        <v>2</v>
      </c>
      <c r="AY332">
        <v>0</v>
      </c>
      <c r="AZ332">
        <v>0</v>
      </c>
      <c r="BA332">
        <v>100</v>
      </c>
      <c r="BB332">
        <v>100</v>
      </c>
      <c r="BC332">
        <v>100</v>
      </c>
      <c r="BD332">
        <v>100</v>
      </c>
      <c r="BE332">
        <v>1</v>
      </c>
      <c r="BF332">
        <v>15000</v>
      </c>
      <c r="BG332">
        <v>1000</v>
      </c>
      <c r="BH332" s="8">
        <f>Granger_Inventory[[#This Row],[land_extract]]*Lookups!$B$3</f>
        <v>23128.971718879347</v>
      </c>
      <c r="BI332" s="8">
        <f>IF(Granger_Inventory[[#This Row],[bldg_style]]="",0,Lookups!$B$2)</f>
        <v>29703.559000000001</v>
      </c>
      <c r="BJ332" s="8">
        <f>_xlfn.IFNA(VLOOKUP(Granger_Inventory[[#This Row],[quality]],Lookups!$H$2:$J$14,3,FALSE),0)</f>
        <v>34195</v>
      </c>
      <c r="BK332" s="8">
        <f>_xlfn.IFNA(VLOOKUP(Granger_Inventory[[#This Row],[condition]],Lookups!$H$17:$J$24,3,FALSE),0)</f>
        <v>33736</v>
      </c>
      <c r="BL332" s="8">
        <f>Granger_Inventory[[#This Row],[Age]]*Lookups!$B$16</f>
        <v>-16171.825799999999</v>
      </c>
      <c r="BM332" s="8">
        <f>Granger_Inventory[[#This Row],[living_area]]*Lookups!$B$17</f>
        <v>76825.662077999994</v>
      </c>
      <c r="BN332" s="8">
        <f>(Granger_Inventory[[#This Row],[att_gar]]+Granger_Inventory[[#This Row],[blt_gar]])*Lookups!$B$18</f>
        <v>0</v>
      </c>
      <c r="BO332" s="8">
        <f>Granger_Inventory[[#This Row],[Patio]]*Lookups!$B$19</f>
        <v>0</v>
      </c>
      <c r="BP332" s="8">
        <f>SUM(Granger_Inventory[[#This Row],[Intercept]:[Patio_Value]])*Granger_Inventory[[#This Row],[res_pct]]</f>
        <v>158288.39527800001</v>
      </c>
      <c r="BQ332" s="8">
        <f>Granger_Inventory[[#This Row],[land_value]]</f>
        <v>23128.971718879347</v>
      </c>
      <c r="BR332" s="4">
        <f>_xlfn.IFNA(VLOOKUP(Granger_Inventory[[#This Row],[quality]],Lookups!$A$25:$C$35,3,FALSE),1)</f>
        <v>0.98258795897788032</v>
      </c>
      <c r="BS332" s="4">
        <f>_xlfn.IFNA(VLOOKUP(Granger_Inventory[[#This Row],[condition]],Lookups!$A$38:$C$45,3,FALSE),1)</f>
        <v>0.92294678898076177</v>
      </c>
      <c r="BT332" s="4">
        <f>IF(Granger_Inventory[[#This Row],[decade]]="",1,_xlfn.IFNA(VLOOKUP(Granger_Inventory[[#This Row],[decade]],Lookups!$G$28:$I$42,3,FALSE),1))</f>
        <v>0.76006056002554967</v>
      </c>
      <c r="BU332" s="4">
        <f>_xlfn.IFNA(VLOOKUP(Granger_Inventory[[#This Row],[living_area_range]],Lookups!$A$48:$C$57,3,FALSE),1)</f>
        <v>0.97960506760539345</v>
      </c>
      <c r="BV332" s="4">
        <f>AVERAGE(Granger_Inventory[[#This Row],[qual_adj]:[living_range_adj]])</f>
        <v>0.9113000938973963</v>
      </c>
      <c r="BW332" s="8">
        <f>(Granger_Inventory[[#This Row],[sum_land]]-IF(Granger_Inventory[[#This Row],[no_utilities]]=1,12000,0))/IF(Granger_Inventory[[#This Row],[unbuildable]]=1,2,1)</f>
        <v>23128.971718879347</v>
      </c>
      <c r="BX332" s="8">
        <f>Granger_Inventory[[#This Row],[pre_res]]*Granger_Inventory[[#This Row],[overall_adj]]</f>
        <v>144248.22947970958</v>
      </c>
      <c r="BY332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32">
        <f>ROUND(Granger_Inventory[[#This Row],[detatched_value]]*Lookups!$I$45,-2)</f>
        <v>0</v>
      </c>
      <c r="CA332">
        <f>IF(ROUND(Granger_Inventory[[#This Row],[adj_res]]*Lookups!$I$45,-2)&lt;Granger_Inventory[[#This Row],[min_res]],Granger_Inventory[[#This Row],[min_res]],ROUND(Granger_Inventory[[#This Row],[adj_res]]*Lookups!$I$45,-2))</f>
        <v>137000</v>
      </c>
      <c r="CB332">
        <f>Granger_Inventory[[#This Row],[final_det]]+Granger_Inventory[[#This Row],[final_res]]</f>
        <v>137000</v>
      </c>
      <c r="CC332">
        <f>Granger_Inventory[[#This Row],[final_land]]+Granger_Inventory[[#This Row],[final_imp]]+Granger_Inventory[[#This Row],[crop_value]]</f>
        <v>159000</v>
      </c>
      <c r="CE332" t="str">
        <f t="shared" si="5"/>
        <v>update valuation set market_land =22000, market_bldg=137000, market_total =159000, market_mdno =402, market_date ='9/10/2023' where link_id = (select link_id from parcel where parcel_year = '2024' and parcel_id = '21102112480');</v>
      </c>
    </row>
    <row r="333" spans="1:83" x14ac:dyDescent="0.25">
      <c r="A333">
        <v>21102112481</v>
      </c>
      <c r="B333" t="s">
        <v>137</v>
      </c>
      <c r="C333">
        <v>8401</v>
      </c>
      <c r="D333" t="s">
        <v>137</v>
      </c>
      <c r="E333" t="s">
        <v>54</v>
      </c>
      <c r="F333" t="s">
        <v>54</v>
      </c>
      <c r="G333">
        <v>3</v>
      </c>
      <c r="H333" t="s">
        <v>55</v>
      </c>
      <c r="I333">
        <v>209000</v>
      </c>
      <c r="J333">
        <v>27800</v>
      </c>
      <c r="K333">
        <v>0.19</v>
      </c>
      <c r="L333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33">
        <v>0</v>
      </c>
      <c r="N333">
        <v>0</v>
      </c>
      <c r="O333">
        <v>0</v>
      </c>
      <c r="P333">
        <v>47108.068500000001</v>
      </c>
      <c r="Q333">
        <v>122298</v>
      </c>
      <c r="R333">
        <f>(Granger_Inventory[[#This Row],[ln_acres]]*Granger_Inventory[[#This Row],[coeff]])+Granger_Inventory[[#This Row],[const]]</f>
        <v>44064.160548957996</v>
      </c>
      <c r="S333" t="s">
        <v>69</v>
      </c>
      <c r="T333">
        <v>1</v>
      </c>
      <c r="U333" t="s">
        <v>64</v>
      </c>
      <c r="V333" t="s">
        <v>58</v>
      </c>
      <c r="W333">
        <v>0</v>
      </c>
      <c r="X333">
        <v>0</v>
      </c>
      <c r="Y333">
        <v>2</v>
      </c>
      <c r="Z333">
        <v>2</v>
      </c>
      <c r="AA333">
        <v>10</v>
      </c>
      <c r="AB333">
        <v>1500</v>
      </c>
      <c r="AC333">
        <v>1084</v>
      </c>
      <c r="AD333">
        <v>1084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128</v>
      </c>
      <c r="AO333">
        <v>0</v>
      </c>
      <c r="AP333">
        <v>8</v>
      </c>
      <c r="AQ333">
        <v>0</v>
      </c>
      <c r="AR333">
        <v>0</v>
      </c>
      <c r="AS333" t="s">
        <v>59</v>
      </c>
      <c r="AT333">
        <v>1</v>
      </c>
      <c r="AU333" t="s">
        <v>67</v>
      </c>
      <c r="AV333" t="s">
        <v>65</v>
      </c>
      <c r="AW333">
        <v>1</v>
      </c>
      <c r="AX333">
        <v>3</v>
      </c>
      <c r="AY333">
        <v>0</v>
      </c>
      <c r="AZ333">
        <v>0</v>
      </c>
      <c r="BA333">
        <v>100</v>
      </c>
      <c r="BB333">
        <v>100</v>
      </c>
      <c r="BC333">
        <v>100</v>
      </c>
      <c r="BD333">
        <v>100</v>
      </c>
      <c r="BE333">
        <v>1</v>
      </c>
      <c r="BF333">
        <v>15000</v>
      </c>
      <c r="BG333">
        <v>1000</v>
      </c>
      <c r="BH333" s="8">
        <f>Granger_Inventory[[#This Row],[land_extract]]*Lookups!$B$3</f>
        <v>26250.377615159185</v>
      </c>
      <c r="BI333" s="8">
        <f>IF(Granger_Inventory[[#This Row],[bldg_style]]="",0,Lookups!$B$2)</f>
        <v>29703.559000000001</v>
      </c>
      <c r="BJ333" s="8">
        <f>_xlfn.IFNA(VLOOKUP(Granger_Inventory[[#This Row],[quality]],Lookups!$H$2:$J$14,3,FALSE),0)</f>
        <v>36568</v>
      </c>
      <c r="BK333" s="8">
        <f>_xlfn.IFNA(VLOOKUP(Granger_Inventory[[#This Row],[condition]],Lookups!$H$17:$J$24,3,FALSE),0)</f>
        <v>101774</v>
      </c>
      <c r="BL333" s="8">
        <f>Granger_Inventory[[#This Row],[Age]]*Lookups!$B$16</f>
        <v>-414.66219999999998</v>
      </c>
      <c r="BM333" s="8">
        <f>Granger_Inventory[[#This Row],[living_area]]*Lookups!$B$17</f>
        <v>72923.833356000003</v>
      </c>
      <c r="BN333" s="8">
        <f>(Granger_Inventory[[#This Row],[att_gar]]+Granger_Inventory[[#This Row],[blt_gar]])*Lookups!$B$18</f>
        <v>0</v>
      </c>
      <c r="BO333" s="8">
        <f>Granger_Inventory[[#This Row],[Patio]]*Lookups!$B$19</f>
        <v>0</v>
      </c>
      <c r="BP333" s="8">
        <f>SUM(Granger_Inventory[[#This Row],[Intercept]:[Patio_Value]])*Granger_Inventory[[#This Row],[res_pct]]</f>
        <v>240554.73015600001</v>
      </c>
      <c r="BQ333" s="8">
        <f>Granger_Inventory[[#This Row],[land_value]]</f>
        <v>26250.377615159185</v>
      </c>
      <c r="BR333" s="4">
        <f>_xlfn.IFNA(VLOOKUP(Granger_Inventory[[#This Row],[quality]],Lookups!$A$25:$C$35,3,FALSE),1)</f>
        <v>0.99049976351917957</v>
      </c>
      <c r="BS333" s="4">
        <f>_xlfn.IFNA(VLOOKUP(Granger_Inventory[[#This Row],[condition]],Lookups!$A$38:$C$45,3,FALSE),1)</f>
        <v>0.99135053432734199</v>
      </c>
      <c r="BT333" s="4">
        <f>IF(Granger_Inventory[[#This Row],[decade]]="",1,_xlfn.IFNA(VLOOKUP(Granger_Inventory[[#This Row],[decade]],Lookups!$G$28:$I$42,3,FALSE),1))</f>
        <v>0.95532362136731586</v>
      </c>
      <c r="BU333" s="4">
        <f>_xlfn.IFNA(VLOOKUP(Granger_Inventory[[#This Row],[living_area_range]],Lookups!$A$48:$C$57,3,FALSE),1)</f>
        <v>0.97960506760539345</v>
      </c>
      <c r="BV333" s="4">
        <f>AVERAGE(Granger_Inventory[[#This Row],[qual_adj]:[living_range_adj]])</f>
        <v>0.97919474670480777</v>
      </c>
      <c r="BW333" s="8">
        <f>(Granger_Inventory[[#This Row],[sum_land]]-IF(Granger_Inventory[[#This Row],[no_utilities]]=1,12000,0))/IF(Granger_Inventory[[#This Row],[unbuildable]]=1,2,1)</f>
        <v>26250.377615159185</v>
      </c>
      <c r="BX333" s="8">
        <f>Granger_Inventory[[#This Row],[pre_res]]*Granger_Inventory[[#This Row],[overall_adj]]</f>
        <v>235549.92806374782</v>
      </c>
      <c r="BY333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33">
        <f>ROUND(Granger_Inventory[[#This Row],[detatched_value]]*Lookups!$I$45,-2)</f>
        <v>0</v>
      </c>
      <c r="CA333">
        <f>IF(ROUND(Granger_Inventory[[#This Row],[adj_res]]*Lookups!$I$45,-2)&lt;Granger_Inventory[[#This Row],[min_res]],Granger_Inventory[[#This Row],[min_res]],ROUND(Granger_Inventory[[#This Row],[adj_res]]*Lookups!$I$45,-2))</f>
        <v>223800</v>
      </c>
      <c r="CB333">
        <f>Granger_Inventory[[#This Row],[final_det]]+Granger_Inventory[[#This Row],[final_res]]</f>
        <v>223800</v>
      </c>
      <c r="CC333">
        <f>Granger_Inventory[[#This Row],[final_land]]+Granger_Inventory[[#This Row],[final_imp]]+Granger_Inventory[[#This Row],[crop_value]]</f>
        <v>248700</v>
      </c>
      <c r="CE333" t="str">
        <f t="shared" si="5"/>
        <v>update valuation set market_land =24900, market_bldg=223800, market_total =248700, market_mdno =402, market_date ='9/10/2023' where link_id = (select link_id from parcel where parcel_year = '2024' and parcel_id = '21102112481');</v>
      </c>
    </row>
    <row r="334" spans="1:83" x14ac:dyDescent="0.25">
      <c r="A334">
        <v>21102112482</v>
      </c>
      <c r="B334">
        <v>0.22</v>
      </c>
      <c r="C334">
        <v>9433</v>
      </c>
      <c r="D334" t="s">
        <v>137</v>
      </c>
      <c r="E334" t="s">
        <v>54</v>
      </c>
      <c r="F334" t="s">
        <v>54</v>
      </c>
      <c r="G334">
        <v>3</v>
      </c>
      <c r="H334" t="s">
        <v>55</v>
      </c>
      <c r="I334">
        <v>211700</v>
      </c>
      <c r="J334">
        <v>28600</v>
      </c>
      <c r="K334">
        <v>0.22</v>
      </c>
      <c r="L334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334">
        <v>0</v>
      </c>
      <c r="N334">
        <v>0</v>
      </c>
      <c r="O334">
        <v>0</v>
      </c>
      <c r="P334">
        <v>47108.068500000001</v>
      </c>
      <c r="Q334">
        <v>122298</v>
      </c>
      <c r="R334">
        <f>(Granger_Inventory[[#This Row],[ln_acres]]*Granger_Inventory[[#This Row],[coeff]])+Granger_Inventory[[#This Row],[const]]</f>
        <v>50970.367053526847</v>
      </c>
      <c r="S334" t="s">
        <v>62</v>
      </c>
      <c r="T334">
        <v>1</v>
      </c>
      <c r="U334" t="s">
        <v>71</v>
      </c>
      <c r="V334" t="s">
        <v>72</v>
      </c>
      <c r="W334">
        <v>0</v>
      </c>
      <c r="X334">
        <v>0</v>
      </c>
      <c r="Y334">
        <v>31</v>
      </c>
      <c r="Z334">
        <v>31</v>
      </c>
      <c r="AA334">
        <v>40</v>
      </c>
      <c r="AB334">
        <v>1500</v>
      </c>
      <c r="AC334">
        <v>1071</v>
      </c>
      <c r="AD334">
        <v>1071</v>
      </c>
      <c r="AE334">
        <v>0</v>
      </c>
      <c r="AF334">
        <v>0</v>
      </c>
      <c r="AG334">
        <v>0</v>
      </c>
      <c r="AH334">
        <v>0</v>
      </c>
      <c r="AI334">
        <v>552</v>
      </c>
      <c r="AJ334">
        <v>0</v>
      </c>
      <c r="AK334">
        <v>0</v>
      </c>
      <c r="AL334">
        <v>0</v>
      </c>
      <c r="AM334">
        <v>104</v>
      </c>
      <c r="AN334">
        <v>0</v>
      </c>
      <c r="AO334">
        <v>56</v>
      </c>
      <c r="AP334">
        <v>5</v>
      </c>
      <c r="AQ334">
        <v>0</v>
      </c>
      <c r="AR334">
        <v>0</v>
      </c>
      <c r="AS334" t="s">
        <v>59</v>
      </c>
      <c r="AT334">
        <v>1</v>
      </c>
      <c r="AU334" t="s">
        <v>76</v>
      </c>
      <c r="AV334" t="s">
        <v>65</v>
      </c>
      <c r="AW334">
        <v>0</v>
      </c>
      <c r="AX334">
        <v>3</v>
      </c>
      <c r="AY334">
        <v>0</v>
      </c>
      <c r="AZ334">
        <v>0</v>
      </c>
      <c r="BA334">
        <v>100</v>
      </c>
      <c r="BB334">
        <v>100</v>
      </c>
      <c r="BC334">
        <v>100</v>
      </c>
      <c r="BD334">
        <v>100</v>
      </c>
      <c r="BE334">
        <v>1</v>
      </c>
      <c r="BF334">
        <v>15000</v>
      </c>
      <c r="BG334">
        <v>1000</v>
      </c>
      <c r="BH334" s="8">
        <f>Granger_Inventory[[#This Row],[land_extract]]*Lookups!$B$3</f>
        <v>30364.617541091193</v>
      </c>
      <c r="BI334" s="8">
        <f>IF(Granger_Inventory[[#This Row],[bldg_style]]="",0,Lookups!$B$2)</f>
        <v>29703.559000000001</v>
      </c>
      <c r="BJ334" s="8">
        <f>_xlfn.IFNA(VLOOKUP(Granger_Inventory[[#This Row],[quality]],Lookups!$H$2:$J$14,3,FALSE),0)</f>
        <v>34195</v>
      </c>
      <c r="BK334" s="8">
        <f>_xlfn.IFNA(VLOOKUP(Granger_Inventory[[#This Row],[condition]],Lookups!$H$17:$J$24,3,FALSE),0)</f>
        <v>94106</v>
      </c>
      <c r="BL334" s="8">
        <f>Granger_Inventory[[#This Row],[Age]]*Lookups!$B$16</f>
        <v>-6427.2640999999994</v>
      </c>
      <c r="BM334" s="8">
        <f>Granger_Inventory[[#This Row],[living_area]]*Lookups!$B$17</f>
        <v>72049.285539000004</v>
      </c>
      <c r="BN334" s="8">
        <f>(Granger_Inventory[[#This Row],[att_gar]]+Granger_Inventory[[#This Row],[blt_gar]])*Lookups!$B$18</f>
        <v>26743.067472000002</v>
      </c>
      <c r="BO334" s="8">
        <f>Granger_Inventory[[#This Row],[Patio]]*Lookups!$B$19</f>
        <v>5648.7699839999996</v>
      </c>
      <c r="BP334" s="8">
        <f>SUM(Granger_Inventory[[#This Row],[Intercept]:[Patio_Value]])*Granger_Inventory[[#This Row],[res_pct]]</f>
        <v>256018.41789500002</v>
      </c>
      <c r="BQ334" s="8">
        <f>Granger_Inventory[[#This Row],[land_value]]</f>
        <v>30364.617541091193</v>
      </c>
      <c r="BR334" s="4">
        <f>_xlfn.IFNA(VLOOKUP(Granger_Inventory[[#This Row],[quality]],Lookups!$A$25:$C$35,3,FALSE),1)</f>
        <v>0.98258795897788032</v>
      </c>
      <c r="BS334" s="4">
        <f>_xlfn.IFNA(VLOOKUP(Granger_Inventory[[#This Row],[condition]],Lookups!$A$38:$C$45,3,FALSE),1)</f>
        <v>0.98658583151544277</v>
      </c>
      <c r="BT334" s="4">
        <f>IF(Granger_Inventory[[#This Row],[decade]]="",1,_xlfn.IFNA(VLOOKUP(Granger_Inventory[[#This Row],[decade]],Lookups!$G$28:$I$42,3,FALSE),1))</f>
        <v>0.98127609555109363</v>
      </c>
      <c r="BU334" s="4">
        <f>_xlfn.IFNA(VLOOKUP(Granger_Inventory[[#This Row],[living_area_range]],Lookups!$A$48:$C$57,3,FALSE),1)</f>
        <v>0.97960506760539345</v>
      </c>
      <c r="BV334" s="4">
        <f>AVERAGE(Granger_Inventory[[#This Row],[qual_adj]:[living_range_adj]])</f>
        <v>0.9825137384124526</v>
      </c>
      <c r="BW334" s="8">
        <f>(Granger_Inventory[[#This Row],[sum_land]]-IF(Granger_Inventory[[#This Row],[no_utilities]]=1,12000,0))/IF(Granger_Inventory[[#This Row],[unbuildable]]=1,2,1)</f>
        <v>30364.617541091193</v>
      </c>
      <c r="BX334" s="8">
        <f>Granger_Inventory[[#This Row],[pre_res]]*Granger_Inventory[[#This Row],[overall_adj]]</f>
        <v>251541.61286845803</v>
      </c>
      <c r="BY334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334">
        <f>ROUND(Granger_Inventory[[#This Row],[detatched_value]]*Lookups!$I$45,-2)</f>
        <v>0</v>
      </c>
      <c r="CA334">
        <f>IF(ROUND(Granger_Inventory[[#This Row],[adj_res]]*Lookups!$I$45,-2)&lt;Granger_Inventory[[#This Row],[min_res]],Granger_Inventory[[#This Row],[min_res]],ROUND(Granger_Inventory[[#This Row],[adj_res]]*Lookups!$I$45,-2))</f>
        <v>239000</v>
      </c>
      <c r="CB334">
        <f>Granger_Inventory[[#This Row],[final_det]]+Granger_Inventory[[#This Row],[final_res]]</f>
        <v>239000</v>
      </c>
      <c r="CC334">
        <f>Granger_Inventory[[#This Row],[final_land]]+Granger_Inventory[[#This Row],[final_imp]]+Granger_Inventory[[#This Row],[crop_value]]</f>
        <v>267800</v>
      </c>
      <c r="CE334" t="str">
        <f t="shared" si="5"/>
        <v>update valuation set market_land =28800, market_bldg=239000, market_total =267800, market_mdno =402, market_date ='9/10/2023' where link_id = (select link_id from parcel where parcel_year = '2024' and parcel_id = '21102112482');</v>
      </c>
    </row>
    <row r="335" spans="1:83" x14ac:dyDescent="0.25">
      <c r="A335">
        <v>21102112488</v>
      </c>
      <c r="B335">
        <v>0.69</v>
      </c>
      <c r="C335">
        <v>30241</v>
      </c>
      <c r="D335" t="s">
        <v>137</v>
      </c>
      <c r="E335" t="s">
        <v>54</v>
      </c>
      <c r="F335" t="s">
        <v>54</v>
      </c>
      <c r="G335">
        <v>3</v>
      </c>
      <c r="H335" t="s">
        <v>55</v>
      </c>
      <c r="I335">
        <v>52400</v>
      </c>
      <c r="J335">
        <v>35400</v>
      </c>
      <c r="K335">
        <v>0.69</v>
      </c>
      <c r="L335">
        <f>IF(Granger_Inventory[[#This Row],[parcel_acres]]-Granger_Inventory[[#This Row],[non_valued_acres]] =0,0,LN(Granger_Inventory[[#This Row],[parcel_acres]]-Granger_Inventory[[#This Row],[non_valued_acres]]))</f>
        <v>-0.37106368139083207</v>
      </c>
      <c r="M335">
        <v>0</v>
      </c>
      <c r="N335">
        <v>0</v>
      </c>
      <c r="O335">
        <v>0</v>
      </c>
      <c r="P335">
        <v>47108.068500000001</v>
      </c>
      <c r="Q335">
        <v>122298</v>
      </c>
      <c r="R335">
        <f>(Granger_Inventory[[#This Row],[ln_acres]]*Granger_Inventory[[#This Row],[coeff]])+Granger_Inventory[[#This Row],[const]]</f>
        <v>104817.9066791785</v>
      </c>
      <c r="S335" t="s">
        <v>56</v>
      </c>
      <c r="T335">
        <v>1</v>
      </c>
      <c r="U335" t="s">
        <v>78</v>
      </c>
      <c r="V335" t="s">
        <v>79</v>
      </c>
      <c r="W335">
        <v>0</v>
      </c>
      <c r="X335">
        <v>0</v>
      </c>
      <c r="Y335">
        <v>17</v>
      </c>
      <c r="Z335">
        <v>17</v>
      </c>
      <c r="AA335">
        <v>20</v>
      </c>
      <c r="AB335">
        <v>1500</v>
      </c>
      <c r="AC335">
        <v>1248</v>
      </c>
      <c r="AD335">
        <v>1248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5</v>
      </c>
      <c r="AQ335">
        <v>0</v>
      </c>
      <c r="AR335">
        <v>0</v>
      </c>
      <c r="AS335" t="s">
        <v>59</v>
      </c>
      <c r="AT335">
        <v>0</v>
      </c>
      <c r="AU335" t="s">
        <v>83</v>
      </c>
      <c r="AV335" t="s">
        <v>65</v>
      </c>
      <c r="AW335">
        <v>0</v>
      </c>
      <c r="AX335">
        <v>1</v>
      </c>
      <c r="AY335">
        <v>0</v>
      </c>
      <c r="AZ335">
        <v>0</v>
      </c>
      <c r="BA335">
        <v>100</v>
      </c>
      <c r="BB335">
        <v>100</v>
      </c>
      <c r="BC335">
        <v>100</v>
      </c>
      <c r="BD335">
        <v>100</v>
      </c>
      <c r="BE335">
        <v>1</v>
      </c>
      <c r="BF335">
        <v>15000</v>
      </c>
      <c r="BG335">
        <v>1000</v>
      </c>
      <c r="BH335" s="8">
        <f>Granger_Inventory[[#This Row],[land_extract]]*Lookups!$B$3</f>
        <v>62443.255400312351</v>
      </c>
      <c r="BI335" s="8">
        <f>IF(Granger_Inventory[[#This Row],[bldg_style]]="",0,Lookups!$B$2)</f>
        <v>29703.559000000001</v>
      </c>
      <c r="BJ335" s="8">
        <f>_xlfn.IFNA(VLOOKUP(Granger_Inventory[[#This Row],[quality]],Lookups!$H$2:$J$14,3,FALSE),0)</f>
        <v>23737.786340274597</v>
      </c>
      <c r="BK335" s="8">
        <f>_xlfn.IFNA(VLOOKUP(Granger_Inventory[[#This Row],[condition]],Lookups!$H$17:$J$24,3,FALSE),0)</f>
        <v>86727</v>
      </c>
      <c r="BL335" s="8">
        <f>Granger_Inventory[[#This Row],[Age]]*Lookups!$B$16</f>
        <v>-3524.6286999999998</v>
      </c>
      <c r="BM335" s="8">
        <f>Granger_Inventory[[#This Row],[living_area]]*Lookups!$B$17</f>
        <v>83956.590431999997</v>
      </c>
      <c r="BN335" s="8">
        <f>(Granger_Inventory[[#This Row],[att_gar]]+Granger_Inventory[[#This Row],[blt_gar]])*Lookups!$B$18</f>
        <v>0</v>
      </c>
      <c r="BO335" s="8">
        <f>Granger_Inventory[[#This Row],[Patio]]*Lookups!$B$19</f>
        <v>0</v>
      </c>
      <c r="BP335" s="8">
        <f>SUM(Granger_Inventory[[#This Row],[Intercept]:[Patio_Value]])*Granger_Inventory[[#This Row],[res_pct]]</f>
        <v>220600.30707227459</v>
      </c>
      <c r="BQ335" s="8">
        <f>Granger_Inventory[[#This Row],[land_value]]</f>
        <v>62443.255400312351</v>
      </c>
      <c r="BR335" s="4">
        <f>_xlfn.IFNA(VLOOKUP(Granger_Inventory[[#This Row],[quality]],Lookups!$A$25:$C$35,3,FALSE),1)</f>
        <v>0.77695375541795109</v>
      </c>
      <c r="BS335" s="4">
        <f>_xlfn.IFNA(VLOOKUP(Granger_Inventory[[#This Row],[condition]],Lookups!$A$38:$C$45,3,FALSE),1)</f>
        <v>0.85322907131620684</v>
      </c>
      <c r="BT335" s="4">
        <f>IF(Granger_Inventory[[#This Row],[decade]]="",1,_xlfn.IFNA(VLOOKUP(Granger_Inventory[[#This Row],[decade]],Lookups!$G$28:$I$42,3,FALSE),1))</f>
        <v>1.0159161060824455</v>
      </c>
      <c r="BU335" s="4">
        <f>_xlfn.IFNA(VLOOKUP(Granger_Inventory[[#This Row],[living_area_range]],Lookups!$A$48:$C$57,3,FALSE),1)</f>
        <v>0.97960506760539345</v>
      </c>
      <c r="BV335" s="4">
        <f>AVERAGE(Granger_Inventory[[#This Row],[qual_adj]:[living_range_adj]])</f>
        <v>0.90642600010549934</v>
      </c>
      <c r="BW335" s="8">
        <f>(Granger_Inventory[[#This Row],[sum_land]]-IF(Granger_Inventory[[#This Row],[no_utilities]]=1,12000,0))/IF(Granger_Inventory[[#This Row],[unbuildable]]=1,2,1)</f>
        <v>62443.255400312351</v>
      </c>
      <c r="BX335" s="8">
        <f>Granger_Inventory[[#This Row],[pre_res]]*Granger_Inventory[[#This Row],[overall_adj]]</f>
        <v>199957.85396156675</v>
      </c>
      <c r="BY335">
        <f>IF(ROUND(Granger_Inventory[[#This Row],[adj_land]]*Lookups!$I$45,-2)&lt;Granger_Inventory[[#This Row],[min_land]],Granger_Inventory[[#This Row],[min_land]],ROUND(Granger_Inventory[[#This Row],[adj_land]]*Lookups!$I$45,-2))</f>
        <v>59300</v>
      </c>
      <c r="BZ335">
        <f>ROUND(Granger_Inventory[[#This Row],[detatched_value]]*Lookups!$I$45,-2)</f>
        <v>0</v>
      </c>
      <c r="CA335">
        <f>IF(ROUND(Granger_Inventory[[#This Row],[adj_res]]*Lookups!$I$45,-2)&lt;Granger_Inventory[[#This Row],[min_res]],Granger_Inventory[[#This Row],[min_res]],ROUND(Granger_Inventory[[#This Row],[adj_res]]*Lookups!$I$45,-2))</f>
        <v>190000</v>
      </c>
      <c r="CB335">
        <f>Granger_Inventory[[#This Row],[final_det]]+Granger_Inventory[[#This Row],[final_res]]</f>
        <v>190000</v>
      </c>
      <c r="CC335">
        <f>Granger_Inventory[[#This Row],[final_land]]+Granger_Inventory[[#This Row],[final_imp]]+Granger_Inventory[[#This Row],[crop_value]]</f>
        <v>249300</v>
      </c>
      <c r="CE335" t="str">
        <f t="shared" si="5"/>
        <v>update valuation set market_land =59300, market_bldg=190000, market_total =249300, market_mdno =402, market_date ='9/10/2023' where link_id = (select link_id from parcel where parcel_year = '2024' and parcel_id = '21102112488');</v>
      </c>
    </row>
    <row r="336" spans="1:83" x14ac:dyDescent="0.25">
      <c r="A336">
        <v>21102112489</v>
      </c>
      <c r="B336">
        <v>0.18</v>
      </c>
      <c r="C336">
        <v>7876</v>
      </c>
      <c r="D336" t="s">
        <v>137</v>
      </c>
      <c r="E336" t="s">
        <v>54</v>
      </c>
      <c r="F336" t="s">
        <v>54</v>
      </c>
      <c r="G336">
        <v>3</v>
      </c>
      <c r="H336" t="s">
        <v>55</v>
      </c>
      <c r="I336">
        <v>163900</v>
      </c>
      <c r="J336">
        <v>27400</v>
      </c>
      <c r="K336">
        <v>0.18</v>
      </c>
      <c r="L33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336">
        <v>0</v>
      </c>
      <c r="N336">
        <v>0</v>
      </c>
      <c r="O336">
        <v>0</v>
      </c>
      <c r="P336">
        <v>47108.068500000001</v>
      </c>
      <c r="Q336">
        <v>122298</v>
      </c>
      <c r="R336">
        <f>(Granger_Inventory[[#This Row],[ln_acres]]*Granger_Inventory[[#This Row],[coeff]])+Granger_Inventory[[#This Row],[const]]</f>
        <v>41517.1581857532</v>
      </c>
      <c r="S336" t="s">
        <v>56</v>
      </c>
      <c r="T336">
        <v>1</v>
      </c>
      <c r="U336" t="s">
        <v>71</v>
      </c>
      <c r="V336" t="s">
        <v>72</v>
      </c>
      <c r="W336">
        <v>0</v>
      </c>
      <c r="X336">
        <v>0</v>
      </c>
      <c r="Y336">
        <v>31</v>
      </c>
      <c r="Z336">
        <v>31</v>
      </c>
      <c r="AA336">
        <v>40</v>
      </c>
      <c r="AB336">
        <v>1500</v>
      </c>
      <c r="AC336">
        <v>1150</v>
      </c>
      <c r="AD336">
        <v>1150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308</v>
      </c>
      <c r="AL336">
        <v>0</v>
      </c>
      <c r="AM336">
        <v>0</v>
      </c>
      <c r="AN336">
        <v>0</v>
      </c>
      <c r="AO336">
        <v>0</v>
      </c>
      <c r="AP336">
        <v>5</v>
      </c>
      <c r="AQ336">
        <v>0</v>
      </c>
      <c r="AR336">
        <v>0</v>
      </c>
      <c r="AS336" t="s">
        <v>59</v>
      </c>
      <c r="AT336">
        <v>1</v>
      </c>
      <c r="AU336" t="s">
        <v>76</v>
      </c>
      <c r="AV336" t="s">
        <v>65</v>
      </c>
      <c r="AW336">
        <v>0</v>
      </c>
      <c r="AX336">
        <v>3</v>
      </c>
      <c r="AY336">
        <v>0</v>
      </c>
      <c r="AZ336">
        <v>0</v>
      </c>
      <c r="BA336">
        <v>100</v>
      </c>
      <c r="BB336">
        <v>100</v>
      </c>
      <c r="BC336">
        <v>100</v>
      </c>
      <c r="BD336">
        <v>100</v>
      </c>
      <c r="BE336">
        <v>1</v>
      </c>
      <c r="BF336">
        <v>15000</v>
      </c>
      <c r="BG336">
        <v>1000</v>
      </c>
      <c r="BH336" s="8">
        <f>Granger_Inventory[[#This Row],[land_extract]]*Lookups!$B$3</f>
        <v>24733.049859725303</v>
      </c>
      <c r="BI336" s="8">
        <f>IF(Granger_Inventory[[#This Row],[bldg_style]]="",0,Lookups!$B$2)</f>
        <v>29703.559000000001</v>
      </c>
      <c r="BJ336" s="8">
        <f>_xlfn.IFNA(VLOOKUP(Granger_Inventory[[#This Row],[quality]],Lookups!$H$2:$J$14,3,FALSE),0)</f>
        <v>34195</v>
      </c>
      <c r="BK336" s="8">
        <f>_xlfn.IFNA(VLOOKUP(Granger_Inventory[[#This Row],[condition]],Lookups!$H$17:$J$24,3,FALSE),0)</f>
        <v>94106</v>
      </c>
      <c r="BL336" s="8">
        <f>Granger_Inventory[[#This Row],[Age]]*Lookups!$B$16</f>
        <v>-6427.2640999999994</v>
      </c>
      <c r="BM336" s="8">
        <f>Granger_Inventory[[#This Row],[living_area]]*Lookups!$B$17</f>
        <v>77363.845350000003</v>
      </c>
      <c r="BN336" s="8">
        <f>(Granger_Inventory[[#This Row],[att_gar]]+Granger_Inventory[[#This Row],[blt_gar]])*Lookups!$B$18</f>
        <v>0</v>
      </c>
      <c r="BO336" s="8">
        <f>Granger_Inventory[[#This Row],[Patio]]*Lookups!$B$19</f>
        <v>0</v>
      </c>
      <c r="BP336" s="8">
        <f>SUM(Granger_Inventory[[#This Row],[Intercept]:[Patio_Value]])*Granger_Inventory[[#This Row],[res_pct]]</f>
        <v>228941.14025</v>
      </c>
      <c r="BQ336" s="8">
        <f>Granger_Inventory[[#This Row],[land_value]]</f>
        <v>24733.049859725303</v>
      </c>
      <c r="BR336" s="4">
        <f>_xlfn.IFNA(VLOOKUP(Granger_Inventory[[#This Row],[quality]],Lookups!$A$25:$C$35,3,FALSE),1)</f>
        <v>0.98258795897788032</v>
      </c>
      <c r="BS336" s="4">
        <f>_xlfn.IFNA(VLOOKUP(Granger_Inventory[[#This Row],[condition]],Lookups!$A$38:$C$45,3,FALSE),1)</f>
        <v>0.98658583151544277</v>
      </c>
      <c r="BT336" s="4">
        <f>IF(Granger_Inventory[[#This Row],[decade]]="",1,_xlfn.IFNA(VLOOKUP(Granger_Inventory[[#This Row],[decade]],Lookups!$G$28:$I$42,3,FALSE),1))</f>
        <v>0.98127609555109363</v>
      </c>
      <c r="BU336" s="4">
        <f>_xlfn.IFNA(VLOOKUP(Granger_Inventory[[#This Row],[living_area_range]],Lookups!$A$48:$C$57,3,FALSE),1)</f>
        <v>0.97960506760539345</v>
      </c>
      <c r="BV336" s="4">
        <f>AVERAGE(Granger_Inventory[[#This Row],[qual_adj]:[living_range_adj]])</f>
        <v>0.9825137384124526</v>
      </c>
      <c r="BW336" s="8">
        <f>(Granger_Inventory[[#This Row],[sum_land]]-IF(Granger_Inventory[[#This Row],[no_utilities]]=1,12000,0))/IF(Granger_Inventory[[#This Row],[unbuildable]]=1,2,1)</f>
        <v>24733.049859725303</v>
      </c>
      <c r="BX336" s="8">
        <f>Granger_Inventory[[#This Row],[pre_res]]*Granger_Inventory[[#This Row],[overall_adj]]</f>
        <v>224937.81558343713</v>
      </c>
      <c r="BY33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336">
        <f>ROUND(Granger_Inventory[[#This Row],[detatched_value]]*Lookups!$I$45,-2)</f>
        <v>0</v>
      </c>
      <c r="CA336">
        <f>IF(ROUND(Granger_Inventory[[#This Row],[adj_res]]*Lookups!$I$45,-2)&lt;Granger_Inventory[[#This Row],[min_res]],Granger_Inventory[[#This Row],[min_res]],ROUND(Granger_Inventory[[#This Row],[adj_res]]*Lookups!$I$45,-2))</f>
        <v>213700</v>
      </c>
      <c r="CB336">
        <f>Granger_Inventory[[#This Row],[final_det]]+Granger_Inventory[[#This Row],[final_res]]</f>
        <v>213700</v>
      </c>
      <c r="CC336">
        <f>Granger_Inventory[[#This Row],[final_land]]+Granger_Inventory[[#This Row],[final_imp]]+Granger_Inventory[[#This Row],[crop_value]]</f>
        <v>237200</v>
      </c>
      <c r="CE336" t="str">
        <f t="shared" si="5"/>
        <v>update valuation set market_land =23500, market_bldg=213700, market_total =237200, market_mdno =402, market_date ='9/10/2023' where link_id = (select link_id from parcel where parcel_year = '2024' and parcel_id = '21102112489');</v>
      </c>
    </row>
    <row r="337" spans="1:83" x14ac:dyDescent="0.25">
      <c r="A337">
        <v>21102112490</v>
      </c>
      <c r="B337">
        <v>0.2</v>
      </c>
      <c r="C337">
        <v>8631</v>
      </c>
      <c r="D337" t="s">
        <v>137</v>
      </c>
      <c r="E337" t="s">
        <v>54</v>
      </c>
      <c r="F337" t="s">
        <v>54</v>
      </c>
      <c r="G337">
        <v>3</v>
      </c>
      <c r="H337" t="s">
        <v>55</v>
      </c>
      <c r="I337">
        <v>216500</v>
      </c>
      <c r="J337">
        <v>28000</v>
      </c>
      <c r="K337">
        <v>0.2</v>
      </c>
      <c r="L337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337">
        <v>0</v>
      </c>
      <c r="N337">
        <v>0</v>
      </c>
      <c r="O337">
        <v>0</v>
      </c>
      <c r="P337">
        <v>47108.068500000001</v>
      </c>
      <c r="Q337">
        <v>122298</v>
      </c>
      <c r="R337">
        <f>(Granger_Inventory[[#This Row],[ln_acres]]*Granger_Inventory[[#This Row],[coeff]])+Granger_Inventory[[#This Row],[const]]</f>
        <v>46480.488574557399</v>
      </c>
      <c r="S337" t="s">
        <v>56</v>
      </c>
      <c r="T337">
        <v>1</v>
      </c>
      <c r="U337" t="s">
        <v>64</v>
      </c>
      <c r="V337" t="s">
        <v>72</v>
      </c>
      <c r="W337">
        <v>0</v>
      </c>
      <c r="X337">
        <v>0</v>
      </c>
      <c r="Y337">
        <v>45</v>
      </c>
      <c r="Z337">
        <v>50</v>
      </c>
      <c r="AA337">
        <v>50</v>
      </c>
      <c r="AB337">
        <v>1500</v>
      </c>
      <c r="AC337">
        <v>1430</v>
      </c>
      <c r="AD337">
        <v>1430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72</v>
      </c>
      <c r="AP337">
        <v>8</v>
      </c>
      <c r="AQ337">
        <v>0</v>
      </c>
      <c r="AR337">
        <v>0</v>
      </c>
      <c r="AS337" t="s">
        <v>59</v>
      </c>
      <c r="AT337">
        <v>1</v>
      </c>
      <c r="AU337" t="s">
        <v>60</v>
      </c>
      <c r="AV337" t="s">
        <v>65</v>
      </c>
      <c r="AW337">
        <v>0</v>
      </c>
      <c r="AX337">
        <v>4</v>
      </c>
      <c r="AY337">
        <v>0</v>
      </c>
      <c r="AZ337">
        <v>0</v>
      </c>
      <c r="BA337">
        <v>100</v>
      </c>
      <c r="BB337">
        <v>100</v>
      </c>
      <c r="BC337">
        <v>100</v>
      </c>
      <c r="BD337">
        <v>100</v>
      </c>
      <c r="BE337">
        <v>1</v>
      </c>
      <c r="BF337">
        <v>15000</v>
      </c>
      <c r="BG337">
        <v>1000</v>
      </c>
      <c r="BH337" s="8">
        <f>Granger_Inventory[[#This Row],[land_extract]]*Lookups!$B$3</f>
        <v>27689.858642911939</v>
      </c>
      <c r="BI337" s="8">
        <f>IF(Granger_Inventory[[#This Row],[bldg_style]]="",0,Lookups!$B$2)</f>
        <v>29703.559000000001</v>
      </c>
      <c r="BJ337" s="8">
        <f>_xlfn.IFNA(VLOOKUP(Granger_Inventory[[#This Row],[quality]],Lookups!$H$2:$J$14,3,FALSE),0)</f>
        <v>36568</v>
      </c>
      <c r="BK337" s="8">
        <f>_xlfn.IFNA(VLOOKUP(Granger_Inventory[[#This Row],[condition]],Lookups!$H$17:$J$24,3,FALSE),0)</f>
        <v>94106</v>
      </c>
      <c r="BL337" s="8">
        <f>Granger_Inventory[[#This Row],[Age]]*Lookups!$B$16</f>
        <v>-10366.555</v>
      </c>
      <c r="BM337" s="8">
        <f>Granger_Inventory[[#This Row],[living_area]]*Lookups!$B$17</f>
        <v>96200.259869999994</v>
      </c>
      <c r="BN337" s="8">
        <f>(Granger_Inventory[[#This Row],[att_gar]]+Granger_Inventory[[#This Row],[blt_gar]])*Lookups!$B$18</f>
        <v>0</v>
      </c>
      <c r="BO337" s="8">
        <f>Granger_Inventory[[#This Row],[Patio]]*Lookups!$B$19</f>
        <v>0</v>
      </c>
      <c r="BP337" s="8">
        <f>SUM(Granger_Inventory[[#This Row],[Intercept]:[Patio_Value]])*Granger_Inventory[[#This Row],[res_pct]]</f>
        <v>246211.26387000002</v>
      </c>
      <c r="BQ337" s="8">
        <f>Granger_Inventory[[#This Row],[land_value]]</f>
        <v>27689.858642911939</v>
      </c>
      <c r="BR337" s="4">
        <f>_xlfn.IFNA(VLOOKUP(Granger_Inventory[[#This Row],[quality]],Lookups!$A$25:$C$35,3,FALSE),1)</f>
        <v>0.99049976351917957</v>
      </c>
      <c r="BS337" s="4">
        <f>_xlfn.IFNA(VLOOKUP(Granger_Inventory[[#This Row],[condition]],Lookups!$A$38:$C$45,3,FALSE),1)</f>
        <v>0.98658583151544277</v>
      </c>
      <c r="BT337" s="4">
        <f>IF(Granger_Inventory[[#This Row],[decade]]="",1,_xlfn.IFNA(VLOOKUP(Granger_Inventory[[#This Row],[decade]],Lookups!$G$28:$I$42,3,FALSE),1))</f>
        <v>1.2441094871772171</v>
      </c>
      <c r="BU337" s="4">
        <f>_xlfn.IFNA(VLOOKUP(Granger_Inventory[[#This Row],[living_area_range]],Lookups!$A$48:$C$57,3,FALSE),1)</f>
        <v>0.97960506760539345</v>
      </c>
      <c r="BV337" s="4">
        <f>AVERAGE(Granger_Inventory[[#This Row],[qual_adj]:[living_range_adj]])</f>
        <v>1.0502000374543081</v>
      </c>
      <c r="BW337" s="8">
        <f>(Granger_Inventory[[#This Row],[sum_land]]-IF(Granger_Inventory[[#This Row],[no_utilities]]=1,12000,0))/IF(Granger_Inventory[[#This Row],[unbuildable]]=1,2,1)</f>
        <v>27689.858642911939</v>
      </c>
      <c r="BX337" s="8">
        <f>Granger_Inventory[[#This Row],[pre_res]]*Granger_Inventory[[#This Row],[overall_adj]]</f>
        <v>258571.07853794657</v>
      </c>
      <c r="BY337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337">
        <f>ROUND(Granger_Inventory[[#This Row],[detatched_value]]*Lookups!$I$45,-2)</f>
        <v>0</v>
      </c>
      <c r="CA337">
        <f>IF(ROUND(Granger_Inventory[[#This Row],[adj_res]]*Lookups!$I$45,-2)&lt;Granger_Inventory[[#This Row],[min_res]],Granger_Inventory[[#This Row],[min_res]],ROUND(Granger_Inventory[[#This Row],[adj_res]]*Lookups!$I$45,-2))</f>
        <v>245600</v>
      </c>
      <c r="CB337">
        <f>Granger_Inventory[[#This Row],[final_det]]+Granger_Inventory[[#This Row],[final_res]]</f>
        <v>245600</v>
      </c>
      <c r="CC337">
        <f>Granger_Inventory[[#This Row],[final_land]]+Granger_Inventory[[#This Row],[final_imp]]+Granger_Inventory[[#This Row],[crop_value]]</f>
        <v>271900</v>
      </c>
      <c r="CE337" t="str">
        <f t="shared" si="5"/>
        <v>update valuation set market_land =26300, market_bldg=245600, market_total =271900, market_mdno =402, market_date ='9/10/2023' where link_id = (select link_id from parcel where parcel_year = '2024' and parcel_id = '21102112490');</v>
      </c>
    </row>
    <row r="338" spans="1:83" x14ac:dyDescent="0.25">
      <c r="A338">
        <v>21102112491</v>
      </c>
      <c r="B338">
        <v>0.21</v>
      </c>
      <c r="C338" t="s">
        <v>137</v>
      </c>
      <c r="D338" t="s">
        <v>137</v>
      </c>
      <c r="E338" t="s">
        <v>54</v>
      </c>
      <c r="F338" t="s">
        <v>54</v>
      </c>
      <c r="G338">
        <v>3</v>
      </c>
      <c r="H338" t="s">
        <v>55</v>
      </c>
      <c r="I338">
        <v>98100</v>
      </c>
      <c r="J338">
        <v>28300</v>
      </c>
      <c r="K338">
        <v>0.21</v>
      </c>
      <c r="L338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338">
        <v>0</v>
      </c>
      <c r="N338">
        <v>0</v>
      </c>
      <c r="O338">
        <v>0</v>
      </c>
      <c r="P338">
        <v>47108.068500000001</v>
      </c>
      <c r="Q338">
        <v>122298</v>
      </c>
      <c r="R338">
        <f>(Granger_Inventory[[#This Row],[ln_acres]]*Granger_Inventory[[#This Row],[coeff]])+Granger_Inventory[[#This Row],[const]]</f>
        <v>48778.898970377239</v>
      </c>
      <c r="S338" t="s">
        <v>69</v>
      </c>
      <c r="T338">
        <v>1</v>
      </c>
      <c r="U338" t="s">
        <v>71</v>
      </c>
      <c r="V338" t="s">
        <v>77</v>
      </c>
      <c r="W338">
        <v>0</v>
      </c>
      <c r="X338">
        <v>0</v>
      </c>
      <c r="Y338">
        <v>55</v>
      </c>
      <c r="Z338">
        <v>98</v>
      </c>
      <c r="AA338">
        <v>100</v>
      </c>
      <c r="AB338">
        <v>1000</v>
      </c>
      <c r="AC338">
        <v>860</v>
      </c>
      <c r="AD338">
        <v>860</v>
      </c>
      <c r="AE338">
        <v>0</v>
      </c>
      <c r="AF338">
        <v>0</v>
      </c>
      <c r="AG338">
        <v>0</v>
      </c>
      <c r="AH338">
        <v>780</v>
      </c>
      <c r="AI338">
        <v>0</v>
      </c>
      <c r="AJ338">
        <v>0</v>
      </c>
      <c r="AK338">
        <v>0</v>
      </c>
      <c r="AL338">
        <v>300</v>
      </c>
      <c r="AM338">
        <v>0</v>
      </c>
      <c r="AN338">
        <v>60</v>
      </c>
      <c r="AO338">
        <v>99</v>
      </c>
      <c r="AP338">
        <v>5</v>
      </c>
      <c r="AQ338">
        <v>1</v>
      </c>
      <c r="AR338">
        <v>0</v>
      </c>
      <c r="AS338" t="s">
        <v>81</v>
      </c>
      <c r="AT338">
        <v>1</v>
      </c>
      <c r="AU338" t="s">
        <v>60</v>
      </c>
      <c r="AV338" t="s">
        <v>61</v>
      </c>
      <c r="AW338">
        <v>1</v>
      </c>
      <c r="AX338">
        <v>3</v>
      </c>
      <c r="AY338">
        <v>0</v>
      </c>
      <c r="AZ338">
        <v>5600</v>
      </c>
      <c r="BA338">
        <v>100</v>
      </c>
      <c r="BB338">
        <v>100</v>
      </c>
      <c r="BC338">
        <v>100</v>
      </c>
      <c r="BD338">
        <v>100</v>
      </c>
      <c r="BE338">
        <v>1</v>
      </c>
      <c r="BF338">
        <v>15000</v>
      </c>
      <c r="BG338">
        <v>1000</v>
      </c>
      <c r="BH338" s="8">
        <f>Granger_Inventory[[#This Row],[land_extract]]*Lookups!$B$3</f>
        <v>29059.09250674201</v>
      </c>
      <c r="BI338" s="8">
        <f>IF(Granger_Inventory[[#This Row],[bldg_style]]="",0,Lookups!$B$2)</f>
        <v>29703.559000000001</v>
      </c>
      <c r="BJ338" s="8">
        <f>_xlfn.IFNA(VLOOKUP(Granger_Inventory[[#This Row],[quality]],Lookups!$H$2:$J$14,3,FALSE),0)</f>
        <v>34195</v>
      </c>
      <c r="BK338" s="8">
        <f>_xlfn.IFNA(VLOOKUP(Granger_Inventory[[#This Row],[condition]],Lookups!$H$17:$J$24,3,FALSE),0)</f>
        <v>33736</v>
      </c>
      <c r="BL338" s="8">
        <f>Granger_Inventory[[#This Row],[Age]]*Lookups!$B$16</f>
        <v>-20318.447799999998</v>
      </c>
      <c r="BM338" s="8">
        <f>Granger_Inventory[[#This Row],[living_area]]*Lookups!$B$17</f>
        <v>57854.701739999997</v>
      </c>
      <c r="BN338" s="8">
        <f>(Granger_Inventory[[#This Row],[att_gar]]+Granger_Inventory[[#This Row],[blt_gar]])*Lookups!$B$18</f>
        <v>0</v>
      </c>
      <c r="BO338" s="8">
        <f>Granger_Inventory[[#This Row],[Patio]]*Lookups!$B$19</f>
        <v>0</v>
      </c>
      <c r="BP338" s="8">
        <f>SUM(Granger_Inventory[[#This Row],[Intercept]:[Patio_Value]])*Granger_Inventory[[#This Row],[res_pct]]</f>
        <v>135170.81294</v>
      </c>
      <c r="BQ338" s="8">
        <f>Granger_Inventory[[#This Row],[land_value]]</f>
        <v>29059.09250674201</v>
      </c>
      <c r="BR338" s="4">
        <f>_xlfn.IFNA(VLOOKUP(Granger_Inventory[[#This Row],[quality]],Lookups!$A$25:$C$35,3,FALSE),1)</f>
        <v>0.98258795897788032</v>
      </c>
      <c r="BS338" s="4">
        <f>_xlfn.IFNA(VLOOKUP(Granger_Inventory[[#This Row],[condition]],Lookups!$A$38:$C$45,3,FALSE),1)</f>
        <v>0.92294678898076177</v>
      </c>
      <c r="BT338" s="4">
        <f>IF(Granger_Inventory[[#This Row],[decade]]="",1,_xlfn.IFNA(VLOOKUP(Granger_Inventory[[#This Row],[decade]],Lookups!$G$28:$I$42,3,FALSE),1))</f>
        <v>0.879441629375324</v>
      </c>
      <c r="BU338" s="4">
        <f>_xlfn.IFNA(VLOOKUP(Granger_Inventory[[#This Row],[living_area_range]],Lookups!$A$48:$C$57,3,FALSE),1)</f>
        <v>0.81272404900450645</v>
      </c>
      <c r="BV338" s="4">
        <f>AVERAGE(Granger_Inventory[[#This Row],[qual_adj]:[living_range_adj]])</f>
        <v>0.89942510658461816</v>
      </c>
      <c r="BW338" s="8">
        <f>(Granger_Inventory[[#This Row],[sum_land]]-IF(Granger_Inventory[[#This Row],[no_utilities]]=1,12000,0))/IF(Granger_Inventory[[#This Row],[unbuildable]]=1,2,1)</f>
        <v>29059.09250674201</v>
      </c>
      <c r="BX338" s="8">
        <f>Granger_Inventory[[#This Row],[pre_res]]*Granger_Inventory[[#This Row],[overall_adj]]</f>
        <v>121576.02283568899</v>
      </c>
      <c r="BY338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338">
        <f>ROUND(Granger_Inventory[[#This Row],[detatched_value]]*Lookups!$I$45,-2)</f>
        <v>5300</v>
      </c>
      <c r="CA338">
        <f>IF(ROUND(Granger_Inventory[[#This Row],[adj_res]]*Lookups!$I$45,-2)&lt;Granger_Inventory[[#This Row],[min_res]],Granger_Inventory[[#This Row],[min_res]],ROUND(Granger_Inventory[[#This Row],[adj_res]]*Lookups!$I$45,-2))</f>
        <v>115500</v>
      </c>
      <c r="CB338">
        <f>Granger_Inventory[[#This Row],[final_det]]+Granger_Inventory[[#This Row],[final_res]]</f>
        <v>120800</v>
      </c>
      <c r="CC338">
        <f>Granger_Inventory[[#This Row],[final_land]]+Granger_Inventory[[#This Row],[final_imp]]+Granger_Inventory[[#This Row],[crop_value]]</f>
        <v>148400</v>
      </c>
      <c r="CE338" t="str">
        <f t="shared" si="5"/>
        <v>update valuation set market_land =27600, market_bldg=120800, market_total =148400, market_mdno =402, market_date ='9/10/2023' where link_id = (select link_id from parcel where parcel_year = '2024' and parcel_id = '21102112491');</v>
      </c>
    </row>
    <row r="339" spans="1:83" x14ac:dyDescent="0.25">
      <c r="A339">
        <v>21102112492</v>
      </c>
      <c r="B339">
        <v>0.17</v>
      </c>
      <c r="C339">
        <v>7500</v>
      </c>
      <c r="D339" t="s">
        <v>137</v>
      </c>
      <c r="E339" t="s">
        <v>54</v>
      </c>
      <c r="F339" t="s">
        <v>54</v>
      </c>
      <c r="G339">
        <v>3</v>
      </c>
      <c r="H339" t="s">
        <v>55</v>
      </c>
      <c r="I339">
        <v>102500</v>
      </c>
      <c r="J339">
        <v>27100</v>
      </c>
      <c r="K339">
        <v>0.17</v>
      </c>
      <c r="L339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39">
        <v>0</v>
      </c>
      <c r="N339">
        <v>0</v>
      </c>
      <c r="O339">
        <v>0</v>
      </c>
      <c r="P339">
        <v>47108.068500000001</v>
      </c>
      <c r="Q339">
        <v>122298</v>
      </c>
      <c r="R339">
        <f>(Granger_Inventory[[#This Row],[ln_acres]]*Granger_Inventory[[#This Row],[coeff]])+Granger_Inventory[[#This Row],[const]]</f>
        <v>38824.535711229546</v>
      </c>
      <c r="S339" t="s">
        <v>69</v>
      </c>
      <c r="T339">
        <v>1</v>
      </c>
      <c r="U339" t="s">
        <v>71</v>
      </c>
      <c r="V339" t="s">
        <v>77</v>
      </c>
      <c r="W339">
        <v>0</v>
      </c>
      <c r="X339">
        <v>0</v>
      </c>
      <c r="Y339">
        <v>55</v>
      </c>
      <c r="Z339">
        <v>98</v>
      </c>
      <c r="AA339">
        <v>100</v>
      </c>
      <c r="AB339">
        <v>1500</v>
      </c>
      <c r="AC339">
        <v>1211</v>
      </c>
      <c r="AD339">
        <v>1211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28</v>
      </c>
      <c r="AN339">
        <v>0</v>
      </c>
      <c r="AO339">
        <v>133</v>
      </c>
      <c r="AP339">
        <v>8</v>
      </c>
      <c r="AQ339">
        <v>0</v>
      </c>
      <c r="AR339">
        <v>0</v>
      </c>
      <c r="AS339" t="s">
        <v>59</v>
      </c>
      <c r="AT339">
        <v>1</v>
      </c>
      <c r="AU339" t="s">
        <v>76</v>
      </c>
      <c r="AV339" t="s">
        <v>65</v>
      </c>
      <c r="AW339">
        <v>0</v>
      </c>
      <c r="AX339">
        <v>2</v>
      </c>
      <c r="AY339">
        <v>0</v>
      </c>
      <c r="AZ339">
        <v>0</v>
      </c>
      <c r="BA339">
        <v>100</v>
      </c>
      <c r="BB339">
        <v>100</v>
      </c>
      <c r="BC339">
        <v>100</v>
      </c>
      <c r="BD339">
        <v>100</v>
      </c>
      <c r="BE339">
        <v>1</v>
      </c>
      <c r="BF339">
        <v>15000</v>
      </c>
      <c r="BG339">
        <v>1000</v>
      </c>
      <c r="BH339" s="8">
        <f>Granger_Inventory[[#This Row],[land_extract]]*Lookups!$B$3</f>
        <v>23128.971718879347</v>
      </c>
      <c r="BI339" s="8">
        <f>IF(Granger_Inventory[[#This Row],[bldg_style]]="",0,Lookups!$B$2)</f>
        <v>29703.559000000001</v>
      </c>
      <c r="BJ339" s="8">
        <f>_xlfn.IFNA(VLOOKUP(Granger_Inventory[[#This Row],[quality]],Lookups!$H$2:$J$14,3,FALSE),0)</f>
        <v>34195</v>
      </c>
      <c r="BK339" s="8">
        <f>_xlfn.IFNA(VLOOKUP(Granger_Inventory[[#This Row],[condition]],Lookups!$H$17:$J$24,3,FALSE),0)</f>
        <v>33736</v>
      </c>
      <c r="BL339" s="8">
        <f>Granger_Inventory[[#This Row],[Age]]*Lookups!$B$16</f>
        <v>-20318.447799999998</v>
      </c>
      <c r="BM339" s="8">
        <f>Granger_Inventory[[#This Row],[living_area]]*Lookups!$B$17</f>
        <v>81467.492799</v>
      </c>
      <c r="BN339" s="8">
        <f>(Granger_Inventory[[#This Row],[att_gar]]+Granger_Inventory[[#This Row],[blt_gar]])*Lookups!$B$18</f>
        <v>0</v>
      </c>
      <c r="BO339" s="8">
        <f>Granger_Inventory[[#This Row],[Patio]]*Lookups!$B$19</f>
        <v>1520.822688</v>
      </c>
      <c r="BP339" s="8">
        <f>SUM(Granger_Inventory[[#This Row],[Intercept]:[Patio_Value]])*Granger_Inventory[[#This Row],[res_pct]]</f>
        <v>160304.426687</v>
      </c>
      <c r="BQ339" s="8">
        <f>Granger_Inventory[[#This Row],[land_value]]</f>
        <v>23128.971718879347</v>
      </c>
      <c r="BR339" s="4">
        <f>_xlfn.IFNA(VLOOKUP(Granger_Inventory[[#This Row],[quality]],Lookups!$A$25:$C$35,3,FALSE),1)</f>
        <v>0.98258795897788032</v>
      </c>
      <c r="BS339" s="4">
        <f>_xlfn.IFNA(VLOOKUP(Granger_Inventory[[#This Row],[condition]],Lookups!$A$38:$C$45,3,FALSE),1)</f>
        <v>0.92294678898076177</v>
      </c>
      <c r="BT339" s="4">
        <f>IF(Granger_Inventory[[#This Row],[decade]]="",1,_xlfn.IFNA(VLOOKUP(Granger_Inventory[[#This Row],[decade]],Lookups!$G$28:$I$42,3,FALSE),1))</f>
        <v>0.879441629375324</v>
      </c>
      <c r="BU339" s="4">
        <f>_xlfn.IFNA(VLOOKUP(Granger_Inventory[[#This Row],[living_area_range]],Lookups!$A$48:$C$57,3,FALSE),1)</f>
        <v>0.97960506760539345</v>
      </c>
      <c r="BV339" s="4">
        <f>AVERAGE(Granger_Inventory[[#This Row],[qual_adj]:[living_range_adj]])</f>
        <v>0.94114536123483994</v>
      </c>
      <c r="BW339" s="8">
        <f>(Granger_Inventory[[#This Row],[sum_land]]-IF(Granger_Inventory[[#This Row],[no_utilities]]=1,12000,0))/IF(Granger_Inventory[[#This Row],[unbuildable]]=1,2,1)</f>
        <v>23128.971718879347</v>
      </c>
      <c r="BX339" s="8">
        <f>Granger_Inventory[[#This Row],[pre_res]]*Granger_Inventory[[#This Row],[overall_adj]]</f>
        <v>150869.76756188052</v>
      </c>
      <c r="BY339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39">
        <f>ROUND(Granger_Inventory[[#This Row],[detatched_value]]*Lookups!$I$45,-2)</f>
        <v>0</v>
      </c>
      <c r="CA339">
        <f>IF(ROUND(Granger_Inventory[[#This Row],[adj_res]]*Lookups!$I$45,-2)&lt;Granger_Inventory[[#This Row],[min_res]],Granger_Inventory[[#This Row],[min_res]],ROUND(Granger_Inventory[[#This Row],[adj_res]]*Lookups!$I$45,-2))</f>
        <v>143300</v>
      </c>
      <c r="CB339">
        <f>Granger_Inventory[[#This Row],[final_det]]+Granger_Inventory[[#This Row],[final_res]]</f>
        <v>143300</v>
      </c>
      <c r="CC339">
        <f>Granger_Inventory[[#This Row],[final_land]]+Granger_Inventory[[#This Row],[final_imp]]+Granger_Inventory[[#This Row],[crop_value]]</f>
        <v>165300</v>
      </c>
      <c r="CE339" t="str">
        <f t="shared" si="5"/>
        <v>update valuation set market_land =22000, market_bldg=143300, market_total =165300, market_mdno =402, market_date ='9/10/2023' where link_id = (select link_id from parcel where parcel_year = '2024' and parcel_id = '21102112492');</v>
      </c>
    </row>
    <row r="340" spans="1:83" x14ac:dyDescent="0.25">
      <c r="A340">
        <v>21102112494</v>
      </c>
      <c r="B340" t="s">
        <v>137</v>
      </c>
      <c r="C340">
        <v>8401</v>
      </c>
      <c r="D340" t="s">
        <v>137</v>
      </c>
      <c r="E340" t="s">
        <v>54</v>
      </c>
      <c r="F340" t="s">
        <v>54</v>
      </c>
      <c r="G340">
        <v>3</v>
      </c>
      <c r="H340" t="s">
        <v>55</v>
      </c>
      <c r="I340">
        <v>210800</v>
      </c>
      <c r="J340">
        <v>27800</v>
      </c>
      <c r="K340">
        <v>0.19</v>
      </c>
      <c r="L34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40">
        <v>0</v>
      </c>
      <c r="N340">
        <v>0</v>
      </c>
      <c r="O340">
        <v>0</v>
      </c>
      <c r="P340">
        <v>47108.068500000001</v>
      </c>
      <c r="Q340">
        <v>122298</v>
      </c>
      <c r="R340">
        <f>(Granger_Inventory[[#This Row],[ln_acres]]*Granger_Inventory[[#This Row],[coeff]])+Granger_Inventory[[#This Row],[const]]</f>
        <v>44064.160548957996</v>
      </c>
      <c r="S340" t="s">
        <v>66</v>
      </c>
      <c r="T340">
        <v>1</v>
      </c>
      <c r="U340" t="s">
        <v>64</v>
      </c>
      <c r="V340" t="s">
        <v>58</v>
      </c>
      <c r="W340">
        <v>0</v>
      </c>
      <c r="X340">
        <v>0</v>
      </c>
      <c r="Y340">
        <v>3</v>
      </c>
      <c r="Z340">
        <v>3</v>
      </c>
      <c r="AA340">
        <v>10</v>
      </c>
      <c r="AB340">
        <v>1500</v>
      </c>
      <c r="AC340">
        <v>1080</v>
      </c>
      <c r="AD340">
        <v>1080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96</v>
      </c>
      <c r="AO340">
        <v>0</v>
      </c>
      <c r="AP340">
        <v>5</v>
      </c>
      <c r="AQ340">
        <v>0</v>
      </c>
      <c r="AR340">
        <v>0</v>
      </c>
      <c r="AS340" t="s">
        <v>59</v>
      </c>
      <c r="AT340">
        <v>1</v>
      </c>
      <c r="AU340" t="s">
        <v>67</v>
      </c>
      <c r="AV340" t="s">
        <v>65</v>
      </c>
      <c r="AW340">
        <v>1</v>
      </c>
      <c r="AX340">
        <v>3</v>
      </c>
      <c r="AY340">
        <v>0</v>
      </c>
      <c r="AZ340">
        <v>0</v>
      </c>
      <c r="BA340">
        <v>100</v>
      </c>
      <c r="BB340">
        <v>100</v>
      </c>
      <c r="BC340">
        <v>100</v>
      </c>
      <c r="BD340">
        <v>100</v>
      </c>
      <c r="BE340">
        <v>1</v>
      </c>
      <c r="BF340">
        <v>15000</v>
      </c>
      <c r="BG340">
        <v>1000</v>
      </c>
      <c r="BH340" s="8">
        <f>Granger_Inventory[[#This Row],[land_extract]]*Lookups!$B$3</f>
        <v>26250.377615159185</v>
      </c>
      <c r="BI340" s="8">
        <f>IF(Granger_Inventory[[#This Row],[bldg_style]]="",0,Lookups!$B$2)</f>
        <v>29703.559000000001</v>
      </c>
      <c r="BJ340" s="8">
        <f>_xlfn.IFNA(VLOOKUP(Granger_Inventory[[#This Row],[quality]],Lookups!$H$2:$J$14,3,FALSE),0)</f>
        <v>36568</v>
      </c>
      <c r="BK340" s="8">
        <f>_xlfn.IFNA(VLOOKUP(Granger_Inventory[[#This Row],[condition]],Lookups!$H$17:$J$24,3,FALSE),0)</f>
        <v>101774</v>
      </c>
      <c r="BL340" s="8">
        <f>Granger_Inventory[[#This Row],[Age]]*Lookups!$B$16</f>
        <v>-621.99329999999998</v>
      </c>
      <c r="BM340" s="8">
        <f>Granger_Inventory[[#This Row],[living_area]]*Lookups!$B$17</f>
        <v>72654.741720000005</v>
      </c>
      <c r="BN340" s="8">
        <f>(Granger_Inventory[[#This Row],[att_gar]]+Granger_Inventory[[#This Row],[blt_gar]])*Lookups!$B$18</f>
        <v>0</v>
      </c>
      <c r="BO340" s="8">
        <f>Granger_Inventory[[#This Row],[Patio]]*Lookups!$B$19</f>
        <v>0</v>
      </c>
      <c r="BP340" s="8">
        <f>SUM(Granger_Inventory[[#This Row],[Intercept]:[Patio_Value]])*Granger_Inventory[[#This Row],[res_pct]]</f>
        <v>240078.30742000003</v>
      </c>
      <c r="BQ340" s="8">
        <f>Granger_Inventory[[#This Row],[land_value]]</f>
        <v>26250.377615159185</v>
      </c>
      <c r="BR340" s="4">
        <f>_xlfn.IFNA(VLOOKUP(Granger_Inventory[[#This Row],[quality]],Lookups!$A$25:$C$35,3,FALSE),1)</f>
        <v>0.99049976351917957</v>
      </c>
      <c r="BS340" s="4">
        <f>_xlfn.IFNA(VLOOKUP(Granger_Inventory[[#This Row],[condition]],Lookups!$A$38:$C$45,3,FALSE),1)</f>
        <v>0.99135053432734199</v>
      </c>
      <c r="BT340" s="4">
        <f>IF(Granger_Inventory[[#This Row],[decade]]="",1,_xlfn.IFNA(VLOOKUP(Granger_Inventory[[#This Row],[decade]],Lookups!$G$28:$I$42,3,FALSE),1))</f>
        <v>0.95532362136731586</v>
      </c>
      <c r="BU340" s="4">
        <f>_xlfn.IFNA(VLOOKUP(Granger_Inventory[[#This Row],[living_area_range]],Lookups!$A$48:$C$57,3,FALSE),1)</f>
        <v>0.97960506760539345</v>
      </c>
      <c r="BV340" s="4">
        <f>AVERAGE(Granger_Inventory[[#This Row],[qual_adj]:[living_range_adj]])</f>
        <v>0.97919474670480777</v>
      </c>
      <c r="BW340" s="8">
        <f>(Granger_Inventory[[#This Row],[sum_land]]-IF(Granger_Inventory[[#This Row],[no_utilities]]=1,12000,0))/IF(Granger_Inventory[[#This Row],[unbuildable]]=1,2,1)</f>
        <v>26250.377615159185</v>
      </c>
      <c r="BX340" s="8">
        <f>Granger_Inventory[[#This Row],[pre_res]]*Granger_Inventory[[#This Row],[overall_adj]]</f>
        <v>235083.41742344591</v>
      </c>
      <c r="BY34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40">
        <f>ROUND(Granger_Inventory[[#This Row],[detatched_value]]*Lookups!$I$45,-2)</f>
        <v>0</v>
      </c>
      <c r="CA340">
        <f>IF(ROUND(Granger_Inventory[[#This Row],[adj_res]]*Lookups!$I$45,-2)&lt;Granger_Inventory[[#This Row],[min_res]],Granger_Inventory[[#This Row],[min_res]],ROUND(Granger_Inventory[[#This Row],[adj_res]]*Lookups!$I$45,-2))</f>
        <v>223300</v>
      </c>
      <c r="CB340">
        <f>Granger_Inventory[[#This Row],[final_det]]+Granger_Inventory[[#This Row],[final_res]]</f>
        <v>223300</v>
      </c>
      <c r="CC340">
        <f>Granger_Inventory[[#This Row],[final_land]]+Granger_Inventory[[#This Row],[final_imp]]+Granger_Inventory[[#This Row],[crop_value]]</f>
        <v>248200</v>
      </c>
      <c r="CE340" t="str">
        <f t="shared" si="5"/>
        <v>update valuation set market_land =24900, market_bldg=223300, market_total =248200, market_mdno =402, market_date ='9/10/2023' where link_id = (select link_id from parcel where parcel_year = '2024' and parcel_id = '21102112494');</v>
      </c>
    </row>
    <row r="341" spans="1:83" x14ac:dyDescent="0.25">
      <c r="A341">
        <v>21102112495</v>
      </c>
      <c r="B341" t="s">
        <v>137</v>
      </c>
      <c r="C341">
        <v>8376</v>
      </c>
      <c r="D341" t="s">
        <v>137</v>
      </c>
      <c r="E341" t="s">
        <v>54</v>
      </c>
      <c r="F341" t="s">
        <v>54</v>
      </c>
      <c r="G341">
        <v>3</v>
      </c>
      <c r="H341" t="s">
        <v>55</v>
      </c>
      <c r="I341">
        <v>202000</v>
      </c>
      <c r="J341">
        <v>27800</v>
      </c>
      <c r="K341">
        <v>0.19</v>
      </c>
      <c r="L341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41">
        <v>0</v>
      </c>
      <c r="N341">
        <v>0</v>
      </c>
      <c r="O341">
        <v>0</v>
      </c>
      <c r="P341">
        <v>47108.068500000001</v>
      </c>
      <c r="Q341">
        <v>122298</v>
      </c>
      <c r="R341">
        <f>(Granger_Inventory[[#This Row],[ln_acres]]*Granger_Inventory[[#This Row],[coeff]])+Granger_Inventory[[#This Row],[const]]</f>
        <v>44064.160548957996</v>
      </c>
      <c r="S341" t="s">
        <v>69</v>
      </c>
      <c r="T341">
        <v>1</v>
      </c>
      <c r="U341" t="s">
        <v>64</v>
      </c>
      <c r="V341" t="s">
        <v>58</v>
      </c>
      <c r="W341">
        <v>0</v>
      </c>
      <c r="X341">
        <v>0</v>
      </c>
      <c r="Y341">
        <v>3</v>
      </c>
      <c r="Z341">
        <v>3</v>
      </c>
      <c r="AA341">
        <v>10</v>
      </c>
      <c r="AB341">
        <v>1500</v>
      </c>
      <c r="AC341">
        <v>1084</v>
      </c>
      <c r="AD341">
        <v>1084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268</v>
      </c>
      <c r="AO341">
        <v>0</v>
      </c>
      <c r="AP341">
        <v>5</v>
      </c>
      <c r="AQ341">
        <v>0</v>
      </c>
      <c r="AR341">
        <v>0</v>
      </c>
      <c r="AS341" t="s">
        <v>59</v>
      </c>
      <c r="AT341">
        <v>1</v>
      </c>
      <c r="AU341" t="s">
        <v>67</v>
      </c>
      <c r="AV341" t="s">
        <v>65</v>
      </c>
      <c r="AW341">
        <v>1</v>
      </c>
      <c r="AX341">
        <v>3</v>
      </c>
      <c r="AY341">
        <v>0</v>
      </c>
      <c r="AZ341">
        <v>0</v>
      </c>
      <c r="BA341">
        <v>100</v>
      </c>
      <c r="BB341">
        <v>100</v>
      </c>
      <c r="BC341">
        <v>100</v>
      </c>
      <c r="BD341">
        <v>100</v>
      </c>
      <c r="BE341">
        <v>1</v>
      </c>
      <c r="BF341">
        <v>15000</v>
      </c>
      <c r="BG341">
        <v>1000</v>
      </c>
      <c r="BH341" s="8">
        <f>Granger_Inventory[[#This Row],[land_extract]]*Lookups!$B$3</f>
        <v>26250.377615159185</v>
      </c>
      <c r="BI341" s="8">
        <f>IF(Granger_Inventory[[#This Row],[bldg_style]]="",0,Lookups!$B$2)</f>
        <v>29703.559000000001</v>
      </c>
      <c r="BJ341" s="8">
        <f>_xlfn.IFNA(VLOOKUP(Granger_Inventory[[#This Row],[quality]],Lookups!$H$2:$J$14,3,FALSE),0)</f>
        <v>36568</v>
      </c>
      <c r="BK341" s="8">
        <f>_xlfn.IFNA(VLOOKUP(Granger_Inventory[[#This Row],[condition]],Lookups!$H$17:$J$24,3,FALSE),0)</f>
        <v>101774</v>
      </c>
      <c r="BL341" s="8">
        <f>Granger_Inventory[[#This Row],[Age]]*Lookups!$B$16</f>
        <v>-621.99329999999998</v>
      </c>
      <c r="BM341" s="8">
        <f>Granger_Inventory[[#This Row],[living_area]]*Lookups!$B$17</f>
        <v>72923.833356000003</v>
      </c>
      <c r="BN341" s="8">
        <f>(Granger_Inventory[[#This Row],[att_gar]]+Granger_Inventory[[#This Row],[blt_gar]])*Lookups!$B$18</f>
        <v>0</v>
      </c>
      <c r="BO341" s="8">
        <f>Granger_Inventory[[#This Row],[Patio]]*Lookups!$B$19</f>
        <v>0</v>
      </c>
      <c r="BP341" s="8">
        <f>SUM(Granger_Inventory[[#This Row],[Intercept]:[Patio_Value]])*Granger_Inventory[[#This Row],[res_pct]]</f>
        <v>240347.39905599999</v>
      </c>
      <c r="BQ341" s="8">
        <f>Granger_Inventory[[#This Row],[land_value]]</f>
        <v>26250.377615159185</v>
      </c>
      <c r="BR341" s="4">
        <f>_xlfn.IFNA(VLOOKUP(Granger_Inventory[[#This Row],[quality]],Lookups!$A$25:$C$35,3,FALSE),1)</f>
        <v>0.99049976351917957</v>
      </c>
      <c r="BS341" s="4">
        <f>_xlfn.IFNA(VLOOKUP(Granger_Inventory[[#This Row],[condition]],Lookups!$A$38:$C$45,3,FALSE),1)</f>
        <v>0.99135053432734199</v>
      </c>
      <c r="BT341" s="4">
        <f>IF(Granger_Inventory[[#This Row],[decade]]="",1,_xlfn.IFNA(VLOOKUP(Granger_Inventory[[#This Row],[decade]],Lookups!$G$28:$I$42,3,FALSE),1))</f>
        <v>0.95532362136731586</v>
      </c>
      <c r="BU341" s="4">
        <f>_xlfn.IFNA(VLOOKUP(Granger_Inventory[[#This Row],[living_area_range]],Lookups!$A$48:$C$57,3,FALSE),1)</f>
        <v>0.97960506760539345</v>
      </c>
      <c r="BV341" s="4">
        <f>AVERAGE(Granger_Inventory[[#This Row],[qual_adj]:[living_range_adj]])</f>
        <v>0.97919474670480777</v>
      </c>
      <c r="BW341" s="8">
        <f>(Granger_Inventory[[#This Row],[sum_land]]-IF(Granger_Inventory[[#This Row],[no_utilities]]=1,12000,0))/IF(Granger_Inventory[[#This Row],[unbuildable]]=1,2,1)</f>
        <v>26250.377615159185</v>
      </c>
      <c r="BX341" s="8">
        <f>Granger_Inventory[[#This Row],[pre_res]]*Granger_Inventory[[#This Row],[overall_adj]]</f>
        <v>235346.91053979928</v>
      </c>
      <c r="BY341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41">
        <f>ROUND(Granger_Inventory[[#This Row],[detatched_value]]*Lookups!$I$45,-2)</f>
        <v>0</v>
      </c>
      <c r="CA341">
        <f>IF(ROUND(Granger_Inventory[[#This Row],[adj_res]]*Lookups!$I$45,-2)&lt;Granger_Inventory[[#This Row],[min_res]],Granger_Inventory[[#This Row],[min_res]],ROUND(Granger_Inventory[[#This Row],[adj_res]]*Lookups!$I$45,-2))</f>
        <v>223600</v>
      </c>
      <c r="CB341">
        <f>Granger_Inventory[[#This Row],[final_det]]+Granger_Inventory[[#This Row],[final_res]]</f>
        <v>223600</v>
      </c>
      <c r="CC341">
        <f>Granger_Inventory[[#This Row],[final_land]]+Granger_Inventory[[#This Row],[final_imp]]+Granger_Inventory[[#This Row],[crop_value]]</f>
        <v>248500</v>
      </c>
      <c r="CE341" t="str">
        <f t="shared" si="5"/>
        <v>update valuation set market_land =24900, market_bldg=223600, market_total =248500, market_mdno =402, market_date ='9/10/2023' where link_id = (select link_id from parcel where parcel_year = '2024' and parcel_id = '21102112495');</v>
      </c>
    </row>
    <row r="342" spans="1:83" x14ac:dyDescent="0.25">
      <c r="A342">
        <v>21102112499</v>
      </c>
      <c r="B342" t="s">
        <v>137</v>
      </c>
      <c r="C342">
        <v>8401</v>
      </c>
      <c r="D342" t="s">
        <v>137</v>
      </c>
      <c r="E342" t="s">
        <v>54</v>
      </c>
      <c r="F342" t="s">
        <v>54</v>
      </c>
      <c r="G342">
        <v>3</v>
      </c>
      <c r="H342" t="s">
        <v>55</v>
      </c>
      <c r="I342">
        <v>207700</v>
      </c>
      <c r="J342">
        <v>27800</v>
      </c>
      <c r="K342">
        <v>0.19</v>
      </c>
      <c r="L342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42">
        <v>0</v>
      </c>
      <c r="N342">
        <v>0</v>
      </c>
      <c r="O342">
        <v>0</v>
      </c>
      <c r="P342">
        <v>47108.068500000001</v>
      </c>
      <c r="Q342">
        <v>122298</v>
      </c>
      <c r="R342">
        <f>(Granger_Inventory[[#This Row],[ln_acres]]*Granger_Inventory[[#This Row],[coeff]])+Granger_Inventory[[#This Row],[const]]</f>
        <v>44064.160548957996</v>
      </c>
      <c r="S342" t="s">
        <v>69</v>
      </c>
      <c r="T342">
        <v>1</v>
      </c>
      <c r="U342" t="s">
        <v>64</v>
      </c>
      <c r="V342" t="s">
        <v>58</v>
      </c>
      <c r="W342">
        <v>0</v>
      </c>
      <c r="X342">
        <v>0</v>
      </c>
      <c r="Y342">
        <v>5</v>
      </c>
      <c r="Z342">
        <v>5</v>
      </c>
      <c r="AA342">
        <v>10</v>
      </c>
      <c r="AB342">
        <v>1500</v>
      </c>
      <c r="AC342">
        <v>1084</v>
      </c>
      <c r="AD342">
        <v>1084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128</v>
      </c>
      <c r="AO342">
        <v>0</v>
      </c>
      <c r="AP342">
        <v>8</v>
      </c>
      <c r="AQ342">
        <v>0</v>
      </c>
      <c r="AR342">
        <v>0</v>
      </c>
      <c r="AS342" t="s">
        <v>59</v>
      </c>
      <c r="AT342">
        <v>1</v>
      </c>
      <c r="AU342" t="s">
        <v>67</v>
      </c>
      <c r="AV342" t="s">
        <v>65</v>
      </c>
      <c r="AW342">
        <v>1</v>
      </c>
      <c r="AX342">
        <v>3</v>
      </c>
      <c r="AY342">
        <v>0</v>
      </c>
      <c r="AZ342">
        <v>0</v>
      </c>
      <c r="BA342">
        <v>100</v>
      </c>
      <c r="BB342">
        <v>100</v>
      </c>
      <c r="BC342">
        <v>100</v>
      </c>
      <c r="BD342">
        <v>100</v>
      </c>
      <c r="BE342">
        <v>1</v>
      </c>
      <c r="BF342">
        <v>15000</v>
      </c>
      <c r="BG342">
        <v>1000</v>
      </c>
      <c r="BH342" s="8">
        <f>Granger_Inventory[[#This Row],[land_extract]]*Lookups!$B$3</f>
        <v>26250.377615159185</v>
      </c>
      <c r="BI342" s="8">
        <f>IF(Granger_Inventory[[#This Row],[bldg_style]]="",0,Lookups!$B$2)</f>
        <v>29703.559000000001</v>
      </c>
      <c r="BJ342" s="8">
        <f>_xlfn.IFNA(VLOOKUP(Granger_Inventory[[#This Row],[quality]],Lookups!$H$2:$J$14,3,FALSE),0)</f>
        <v>36568</v>
      </c>
      <c r="BK342" s="8">
        <f>_xlfn.IFNA(VLOOKUP(Granger_Inventory[[#This Row],[condition]],Lookups!$H$17:$J$24,3,FALSE),0)</f>
        <v>101774</v>
      </c>
      <c r="BL342" s="8">
        <f>Granger_Inventory[[#This Row],[Age]]*Lookups!$B$16</f>
        <v>-1036.6554999999998</v>
      </c>
      <c r="BM342" s="8">
        <f>Granger_Inventory[[#This Row],[living_area]]*Lookups!$B$17</f>
        <v>72923.833356000003</v>
      </c>
      <c r="BN342" s="8">
        <f>(Granger_Inventory[[#This Row],[att_gar]]+Granger_Inventory[[#This Row],[blt_gar]])*Lookups!$B$18</f>
        <v>0</v>
      </c>
      <c r="BO342" s="8">
        <f>Granger_Inventory[[#This Row],[Patio]]*Lookups!$B$19</f>
        <v>0</v>
      </c>
      <c r="BP342" s="8">
        <f>SUM(Granger_Inventory[[#This Row],[Intercept]:[Patio_Value]])*Granger_Inventory[[#This Row],[res_pct]]</f>
        <v>239932.73685600003</v>
      </c>
      <c r="BQ342" s="8">
        <f>Granger_Inventory[[#This Row],[land_value]]</f>
        <v>26250.377615159185</v>
      </c>
      <c r="BR342" s="4">
        <f>_xlfn.IFNA(VLOOKUP(Granger_Inventory[[#This Row],[quality]],Lookups!$A$25:$C$35,3,FALSE),1)</f>
        <v>0.99049976351917957</v>
      </c>
      <c r="BS342" s="4">
        <f>_xlfn.IFNA(VLOOKUP(Granger_Inventory[[#This Row],[condition]],Lookups!$A$38:$C$45,3,FALSE),1)</f>
        <v>0.99135053432734199</v>
      </c>
      <c r="BT342" s="4">
        <f>IF(Granger_Inventory[[#This Row],[decade]]="",1,_xlfn.IFNA(VLOOKUP(Granger_Inventory[[#This Row],[decade]],Lookups!$G$28:$I$42,3,FALSE),1))</f>
        <v>0.95532362136731586</v>
      </c>
      <c r="BU342" s="4">
        <f>_xlfn.IFNA(VLOOKUP(Granger_Inventory[[#This Row],[living_area_range]],Lookups!$A$48:$C$57,3,FALSE),1)</f>
        <v>0.97960506760539345</v>
      </c>
      <c r="BV342" s="4">
        <f>AVERAGE(Granger_Inventory[[#This Row],[qual_adj]:[living_range_adj]])</f>
        <v>0.97919474670480777</v>
      </c>
      <c r="BW342" s="8">
        <f>(Granger_Inventory[[#This Row],[sum_land]]-IF(Granger_Inventory[[#This Row],[no_utilities]]=1,12000,0))/IF(Granger_Inventory[[#This Row],[unbuildable]]=1,2,1)</f>
        <v>26250.377615159185</v>
      </c>
      <c r="BX342" s="8">
        <f>Granger_Inventory[[#This Row],[pre_res]]*Granger_Inventory[[#This Row],[overall_adj]]</f>
        <v>234940.87549190226</v>
      </c>
      <c r="BY342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42">
        <f>ROUND(Granger_Inventory[[#This Row],[detatched_value]]*Lookups!$I$45,-2)</f>
        <v>0</v>
      </c>
      <c r="CA342">
        <f>IF(ROUND(Granger_Inventory[[#This Row],[adj_res]]*Lookups!$I$45,-2)&lt;Granger_Inventory[[#This Row],[min_res]],Granger_Inventory[[#This Row],[min_res]],ROUND(Granger_Inventory[[#This Row],[adj_res]]*Lookups!$I$45,-2))</f>
        <v>223200</v>
      </c>
      <c r="CB342">
        <f>Granger_Inventory[[#This Row],[final_det]]+Granger_Inventory[[#This Row],[final_res]]</f>
        <v>223200</v>
      </c>
      <c r="CC342">
        <f>Granger_Inventory[[#This Row],[final_land]]+Granger_Inventory[[#This Row],[final_imp]]+Granger_Inventory[[#This Row],[crop_value]]</f>
        <v>248100</v>
      </c>
      <c r="CE342" t="str">
        <f t="shared" si="5"/>
        <v>update valuation set market_land =24900, market_bldg=223200, market_total =248100, market_mdno =402, market_date ='9/10/2023' where link_id = (select link_id from parcel where parcel_year = '2024' and parcel_id = '21102112499');</v>
      </c>
    </row>
    <row r="343" spans="1:83" x14ac:dyDescent="0.25">
      <c r="A343">
        <v>21102112501</v>
      </c>
      <c r="B343" t="s">
        <v>137</v>
      </c>
      <c r="C343">
        <v>8401</v>
      </c>
      <c r="D343" t="s">
        <v>137</v>
      </c>
      <c r="E343" t="s">
        <v>54</v>
      </c>
      <c r="F343" t="s">
        <v>54</v>
      </c>
      <c r="G343">
        <v>3</v>
      </c>
      <c r="H343" t="s">
        <v>55</v>
      </c>
      <c r="I343">
        <v>207400</v>
      </c>
      <c r="J343">
        <v>27800</v>
      </c>
      <c r="K343">
        <v>0.19</v>
      </c>
      <c r="L343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43">
        <v>0</v>
      </c>
      <c r="N343">
        <v>0</v>
      </c>
      <c r="O343">
        <v>0</v>
      </c>
      <c r="P343">
        <v>47108.068500000001</v>
      </c>
      <c r="Q343">
        <v>122298</v>
      </c>
      <c r="R343">
        <f>(Granger_Inventory[[#This Row],[ln_acres]]*Granger_Inventory[[#This Row],[coeff]])+Granger_Inventory[[#This Row],[const]]</f>
        <v>44064.160548957996</v>
      </c>
      <c r="S343" t="s">
        <v>69</v>
      </c>
      <c r="T343">
        <v>1</v>
      </c>
      <c r="U343" t="s">
        <v>64</v>
      </c>
      <c r="V343" t="s">
        <v>58</v>
      </c>
      <c r="W343">
        <v>0</v>
      </c>
      <c r="X343">
        <v>0</v>
      </c>
      <c r="Y343">
        <v>5</v>
      </c>
      <c r="Z343">
        <v>5</v>
      </c>
      <c r="AA343">
        <v>10</v>
      </c>
      <c r="AB343">
        <v>1500</v>
      </c>
      <c r="AC343">
        <v>1080</v>
      </c>
      <c r="AD343">
        <v>1080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96</v>
      </c>
      <c r="AO343">
        <v>0</v>
      </c>
      <c r="AP343">
        <v>8</v>
      </c>
      <c r="AQ343">
        <v>0</v>
      </c>
      <c r="AR343">
        <v>0</v>
      </c>
      <c r="AS343" t="s">
        <v>59</v>
      </c>
      <c r="AT343">
        <v>1</v>
      </c>
      <c r="AU343" t="s">
        <v>67</v>
      </c>
      <c r="AV343" t="s">
        <v>65</v>
      </c>
      <c r="AW343">
        <v>1</v>
      </c>
      <c r="AX343">
        <v>3</v>
      </c>
      <c r="AY343">
        <v>0</v>
      </c>
      <c r="AZ343">
        <v>0</v>
      </c>
      <c r="BA343">
        <v>100</v>
      </c>
      <c r="BB343">
        <v>100</v>
      </c>
      <c r="BC343">
        <v>100</v>
      </c>
      <c r="BD343">
        <v>100</v>
      </c>
      <c r="BE343">
        <v>1</v>
      </c>
      <c r="BF343">
        <v>15000</v>
      </c>
      <c r="BG343">
        <v>1000</v>
      </c>
      <c r="BH343" s="8">
        <f>Granger_Inventory[[#This Row],[land_extract]]*Lookups!$B$3</f>
        <v>26250.377615159185</v>
      </c>
      <c r="BI343" s="8">
        <f>IF(Granger_Inventory[[#This Row],[bldg_style]]="",0,Lookups!$B$2)</f>
        <v>29703.559000000001</v>
      </c>
      <c r="BJ343" s="8">
        <f>_xlfn.IFNA(VLOOKUP(Granger_Inventory[[#This Row],[quality]],Lookups!$H$2:$J$14,3,FALSE),0)</f>
        <v>36568</v>
      </c>
      <c r="BK343" s="8">
        <f>_xlfn.IFNA(VLOOKUP(Granger_Inventory[[#This Row],[condition]],Lookups!$H$17:$J$24,3,FALSE),0)</f>
        <v>101774</v>
      </c>
      <c r="BL343" s="8">
        <f>Granger_Inventory[[#This Row],[Age]]*Lookups!$B$16</f>
        <v>-1036.6554999999998</v>
      </c>
      <c r="BM343" s="8">
        <f>Granger_Inventory[[#This Row],[living_area]]*Lookups!$B$17</f>
        <v>72654.741720000005</v>
      </c>
      <c r="BN343" s="8">
        <f>(Granger_Inventory[[#This Row],[att_gar]]+Granger_Inventory[[#This Row],[blt_gar]])*Lookups!$B$18</f>
        <v>0</v>
      </c>
      <c r="BO343" s="8">
        <f>Granger_Inventory[[#This Row],[Patio]]*Lookups!$B$19</f>
        <v>0</v>
      </c>
      <c r="BP343" s="8">
        <f>SUM(Granger_Inventory[[#This Row],[Intercept]:[Patio_Value]])*Granger_Inventory[[#This Row],[res_pct]]</f>
        <v>239663.64522000001</v>
      </c>
      <c r="BQ343" s="8">
        <f>Granger_Inventory[[#This Row],[land_value]]</f>
        <v>26250.377615159185</v>
      </c>
      <c r="BR343" s="4">
        <f>_xlfn.IFNA(VLOOKUP(Granger_Inventory[[#This Row],[quality]],Lookups!$A$25:$C$35,3,FALSE),1)</f>
        <v>0.99049976351917957</v>
      </c>
      <c r="BS343" s="4">
        <f>_xlfn.IFNA(VLOOKUP(Granger_Inventory[[#This Row],[condition]],Lookups!$A$38:$C$45,3,FALSE),1)</f>
        <v>0.99135053432734199</v>
      </c>
      <c r="BT343" s="4">
        <f>IF(Granger_Inventory[[#This Row],[decade]]="",1,_xlfn.IFNA(VLOOKUP(Granger_Inventory[[#This Row],[decade]],Lookups!$G$28:$I$42,3,FALSE),1))</f>
        <v>0.95532362136731586</v>
      </c>
      <c r="BU343" s="4">
        <f>_xlfn.IFNA(VLOOKUP(Granger_Inventory[[#This Row],[living_area_range]],Lookups!$A$48:$C$57,3,FALSE),1)</f>
        <v>0.97960506760539345</v>
      </c>
      <c r="BV343" s="4">
        <f>AVERAGE(Granger_Inventory[[#This Row],[qual_adj]:[living_range_adj]])</f>
        <v>0.97919474670480777</v>
      </c>
      <c r="BW343" s="8">
        <f>(Granger_Inventory[[#This Row],[sum_land]]-IF(Granger_Inventory[[#This Row],[no_utilities]]=1,12000,0))/IF(Granger_Inventory[[#This Row],[unbuildable]]=1,2,1)</f>
        <v>26250.377615159185</v>
      </c>
      <c r="BX343" s="8">
        <f>Granger_Inventory[[#This Row],[pre_res]]*Granger_Inventory[[#This Row],[overall_adj]]</f>
        <v>234677.38237554883</v>
      </c>
      <c r="BY343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43">
        <f>ROUND(Granger_Inventory[[#This Row],[detatched_value]]*Lookups!$I$45,-2)</f>
        <v>0</v>
      </c>
      <c r="CA343">
        <f>IF(ROUND(Granger_Inventory[[#This Row],[adj_res]]*Lookups!$I$45,-2)&lt;Granger_Inventory[[#This Row],[min_res]],Granger_Inventory[[#This Row],[min_res]],ROUND(Granger_Inventory[[#This Row],[adj_res]]*Lookups!$I$45,-2))</f>
        <v>222900</v>
      </c>
      <c r="CB343">
        <f>Granger_Inventory[[#This Row],[final_det]]+Granger_Inventory[[#This Row],[final_res]]</f>
        <v>222900</v>
      </c>
      <c r="CC343">
        <f>Granger_Inventory[[#This Row],[final_land]]+Granger_Inventory[[#This Row],[final_imp]]+Granger_Inventory[[#This Row],[crop_value]]</f>
        <v>247800</v>
      </c>
      <c r="CE343" t="str">
        <f t="shared" si="5"/>
        <v>update valuation set market_land =24900, market_bldg=222900, market_total =247800, market_mdno =402, market_date ='9/10/2023' where link_id = (select link_id from parcel where parcel_year = '2024' and parcel_id = '21102112501');</v>
      </c>
    </row>
    <row r="344" spans="1:83" x14ac:dyDescent="0.25">
      <c r="A344">
        <v>21102112502</v>
      </c>
      <c r="B344">
        <v>0.32</v>
      </c>
      <c r="C344">
        <v>13963</v>
      </c>
      <c r="D344" t="s">
        <v>137</v>
      </c>
      <c r="E344" t="s">
        <v>54</v>
      </c>
      <c r="F344" t="s">
        <v>54</v>
      </c>
      <c r="G344">
        <v>3</v>
      </c>
      <c r="H344" t="s">
        <v>55</v>
      </c>
      <c r="I344">
        <v>196000</v>
      </c>
      <c r="J344">
        <v>30800</v>
      </c>
      <c r="K344">
        <v>0.32</v>
      </c>
      <c r="L344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344">
        <v>0</v>
      </c>
      <c r="N344">
        <v>0</v>
      </c>
      <c r="O344">
        <v>0</v>
      </c>
      <c r="P344">
        <v>47108.068500000001</v>
      </c>
      <c r="Q344">
        <v>122298</v>
      </c>
      <c r="R344">
        <f>(Granger_Inventory[[#This Row],[ln_acres]]*Granger_Inventory[[#This Row],[coeff]])+Granger_Inventory[[#This Row],[const]]</f>
        <v>68621.451736314106</v>
      </c>
      <c r="S344" t="s">
        <v>66</v>
      </c>
      <c r="T344">
        <v>2</v>
      </c>
      <c r="U344" t="s">
        <v>64</v>
      </c>
      <c r="V344" t="s">
        <v>77</v>
      </c>
      <c r="W344">
        <v>0</v>
      </c>
      <c r="X344">
        <v>0</v>
      </c>
      <c r="Y344">
        <v>55</v>
      </c>
      <c r="Z344">
        <v>98</v>
      </c>
      <c r="AA344">
        <v>100</v>
      </c>
      <c r="AB344">
        <v>2000</v>
      </c>
      <c r="AC344">
        <v>1566</v>
      </c>
      <c r="AD344">
        <v>774</v>
      </c>
      <c r="AE344">
        <v>360</v>
      </c>
      <c r="AF344">
        <v>0</v>
      </c>
      <c r="AG344">
        <v>432</v>
      </c>
      <c r="AH344">
        <v>342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84</v>
      </c>
      <c r="AO344">
        <v>0</v>
      </c>
      <c r="AP344">
        <v>7</v>
      </c>
      <c r="AQ344">
        <v>0</v>
      </c>
      <c r="AR344">
        <v>1</v>
      </c>
      <c r="AS344" t="s">
        <v>59</v>
      </c>
      <c r="AT344">
        <v>1</v>
      </c>
      <c r="AU344" t="s">
        <v>60</v>
      </c>
      <c r="AV344" t="s">
        <v>65</v>
      </c>
      <c r="AW344">
        <v>1</v>
      </c>
      <c r="AX344">
        <v>4</v>
      </c>
      <c r="AY344">
        <v>0</v>
      </c>
      <c r="AZ344">
        <v>6300</v>
      </c>
      <c r="BA344">
        <v>100</v>
      </c>
      <c r="BB344">
        <v>100</v>
      </c>
      <c r="BC344">
        <v>100</v>
      </c>
      <c r="BD344">
        <v>100</v>
      </c>
      <c r="BE344">
        <v>1</v>
      </c>
      <c r="BF344">
        <v>15000</v>
      </c>
      <c r="BG344">
        <v>1000</v>
      </c>
      <c r="BH344" s="8">
        <f>Granger_Inventory[[#This Row],[land_extract]]*Lookups!$B$3</f>
        <v>40879.912340035793</v>
      </c>
      <c r="BI344" s="8">
        <f>IF(Granger_Inventory[[#This Row],[bldg_style]]="",0,Lookups!$B$2)</f>
        <v>29703.559000000001</v>
      </c>
      <c r="BJ344" s="8">
        <f>_xlfn.IFNA(VLOOKUP(Granger_Inventory[[#This Row],[quality]],Lookups!$H$2:$J$14,3,FALSE),0)</f>
        <v>36568</v>
      </c>
      <c r="BK344" s="8">
        <f>_xlfn.IFNA(VLOOKUP(Granger_Inventory[[#This Row],[condition]],Lookups!$H$17:$J$24,3,FALSE),0)</f>
        <v>33736</v>
      </c>
      <c r="BL344" s="8">
        <f>Granger_Inventory[[#This Row],[Age]]*Lookups!$B$16</f>
        <v>-20318.447799999998</v>
      </c>
      <c r="BM344" s="8">
        <f>Granger_Inventory[[#This Row],[living_area]]*Lookups!$B$17</f>
        <v>105349.37549399999</v>
      </c>
      <c r="BN344" s="8">
        <f>(Granger_Inventory[[#This Row],[att_gar]]+Granger_Inventory[[#This Row],[blt_gar]])*Lookups!$B$18</f>
        <v>0</v>
      </c>
      <c r="BO344" s="8">
        <f>Granger_Inventory[[#This Row],[Patio]]*Lookups!$B$19</f>
        <v>0</v>
      </c>
      <c r="BP344" s="8">
        <f>SUM(Granger_Inventory[[#This Row],[Intercept]:[Patio_Value]])*Granger_Inventory[[#This Row],[res_pct]]</f>
        <v>185038.48669400002</v>
      </c>
      <c r="BQ344" s="8">
        <f>Granger_Inventory[[#This Row],[land_value]]</f>
        <v>40879.912340035793</v>
      </c>
      <c r="BR344" s="4">
        <f>_xlfn.IFNA(VLOOKUP(Granger_Inventory[[#This Row],[quality]],Lookups!$A$25:$C$35,3,FALSE),1)</f>
        <v>0.99049976351917957</v>
      </c>
      <c r="BS344" s="4">
        <f>_xlfn.IFNA(VLOOKUP(Granger_Inventory[[#This Row],[condition]],Lookups!$A$38:$C$45,3,FALSE),1)</f>
        <v>0.92294678898076177</v>
      </c>
      <c r="BT344" s="4">
        <f>IF(Granger_Inventory[[#This Row],[decade]]="",1,_xlfn.IFNA(VLOOKUP(Granger_Inventory[[#This Row],[decade]],Lookups!$G$28:$I$42,3,FALSE),1))</f>
        <v>0.879441629375324</v>
      </c>
      <c r="BU344" s="4">
        <f>_xlfn.IFNA(VLOOKUP(Granger_Inventory[[#This Row],[living_area_range]],Lookups!$A$48:$C$57,3,FALSE),1)</f>
        <v>0.97860968051050168</v>
      </c>
      <c r="BV344" s="4">
        <f>AVERAGE(Granger_Inventory[[#This Row],[qual_adj]:[living_range_adj]])</f>
        <v>0.94287446559644184</v>
      </c>
      <c r="BW344" s="8">
        <f>(Granger_Inventory[[#This Row],[sum_land]]-IF(Granger_Inventory[[#This Row],[no_utilities]]=1,12000,0))/IF(Granger_Inventory[[#This Row],[unbuildable]]=1,2,1)</f>
        <v>40879.912340035793</v>
      </c>
      <c r="BX344" s="8">
        <f>Granger_Inventory[[#This Row],[pre_res]]*Granger_Inventory[[#This Row],[overall_adj]]</f>
        <v>174468.06425637958</v>
      </c>
      <c r="BY344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344">
        <f>ROUND(Granger_Inventory[[#This Row],[detatched_value]]*Lookups!$I$45,-2)</f>
        <v>6000</v>
      </c>
      <c r="CA344">
        <f>IF(ROUND(Granger_Inventory[[#This Row],[adj_res]]*Lookups!$I$45,-2)&lt;Granger_Inventory[[#This Row],[min_res]],Granger_Inventory[[#This Row],[min_res]],ROUND(Granger_Inventory[[#This Row],[adj_res]]*Lookups!$I$45,-2))</f>
        <v>165700</v>
      </c>
      <c r="CB344">
        <f>Granger_Inventory[[#This Row],[final_det]]+Granger_Inventory[[#This Row],[final_res]]</f>
        <v>171700</v>
      </c>
      <c r="CC344">
        <f>Granger_Inventory[[#This Row],[final_land]]+Granger_Inventory[[#This Row],[final_imp]]+Granger_Inventory[[#This Row],[crop_value]]</f>
        <v>210500</v>
      </c>
      <c r="CE344" t="str">
        <f t="shared" si="5"/>
        <v>update valuation set market_land =38800, market_bldg=171700, market_total =210500, market_mdno =402, market_date ='9/10/2023' where link_id = (select link_id from parcel where parcel_year = '2024' and parcel_id = '21102112502');</v>
      </c>
    </row>
    <row r="345" spans="1:83" x14ac:dyDescent="0.25">
      <c r="A345">
        <v>21102112504</v>
      </c>
      <c r="B345">
        <v>0.27</v>
      </c>
      <c r="C345">
        <v>11627</v>
      </c>
      <c r="D345" t="s">
        <v>137</v>
      </c>
      <c r="E345" t="s">
        <v>54</v>
      </c>
      <c r="F345" t="s">
        <v>54</v>
      </c>
      <c r="G345">
        <v>3</v>
      </c>
      <c r="H345" t="s">
        <v>55</v>
      </c>
      <c r="I345">
        <v>227100</v>
      </c>
      <c r="J345">
        <v>29800</v>
      </c>
      <c r="K345">
        <v>0.27</v>
      </c>
      <c r="L345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345">
        <v>0</v>
      </c>
      <c r="N345">
        <v>0</v>
      </c>
      <c r="O345">
        <v>0</v>
      </c>
      <c r="P345">
        <v>47108.068500000001</v>
      </c>
      <c r="Q345">
        <v>122298</v>
      </c>
      <c r="R345">
        <f>(Granger_Inventory[[#This Row],[ln_acres]]*Granger_Inventory[[#This Row],[coeff]])+Granger_Inventory[[#This Row],[const]]</f>
        <v>60617.836272872511</v>
      </c>
      <c r="S345" t="s">
        <v>56</v>
      </c>
      <c r="T345">
        <v>1</v>
      </c>
      <c r="U345" t="s">
        <v>71</v>
      </c>
      <c r="V345" t="s">
        <v>70</v>
      </c>
      <c r="W345">
        <v>0</v>
      </c>
      <c r="X345">
        <v>0</v>
      </c>
      <c r="Y345">
        <v>50</v>
      </c>
      <c r="Z345">
        <v>73</v>
      </c>
      <c r="AA345">
        <v>80</v>
      </c>
      <c r="AB345">
        <v>1500</v>
      </c>
      <c r="AC345">
        <v>1328</v>
      </c>
      <c r="AD345">
        <v>1328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80</v>
      </c>
      <c r="AN345">
        <v>0</v>
      </c>
      <c r="AO345">
        <v>0</v>
      </c>
      <c r="AP345">
        <v>8</v>
      </c>
      <c r="AQ345">
        <v>1</v>
      </c>
      <c r="AR345">
        <v>0</v>
      </c>
      <c r="AS345" t="s">
        <v>59</v>
      </c>
      <c r="AT345">
        <v>1</v>
      </c>
      <c r="AU345" t="s">
        <v>68</v>
      </c>
      <c r="AV345" t="s">
        <v>65</v>
      </c>
      <c r="AW345">
        <v>0</v>
      </c>
      <c r="AX345">
        <v>3</v>
      </c>
      <c r="AY345">
        <v>0</v>
      </c>
      <c r="AZ345">
        <v>38300</v>
      </c>
      <c r="BA345">
        <v>100</v>
      </c>
      <c r="BB345">
        <v>100</v>
      </c>
      <c r="BC345">
        <v>100</v>
      </c>
      <c r="BD345">
        <v>100</v>
      </c>
      <c r="BE345">
        <v>1</v>
      </c>
      <c r="BF345">
        <v>15000</v>
      </c>
      <c r="BG345">
        <v>1000</v>
      </c>
      <c r="BH345" s="8">
        <f>Granger_Inventory[[#This Row],[land_extract]]*Lookups!$B$3</f>
        <v>36111.912097107357</v>
      </c>
      <c r="BI345" s="8">
        <f>IF(Granger_Inventory[[#This Row],[bldg_style]]="",0,Lookups!$B$2)</f>
        <v>29703.559000000001</v>
      </c>
      <c r="BJ345" s="8">
        <f>_xlfn.IFNA(VLOOKUP(Granger_Inventory[[#This Row],[quality]],Lookups!$H$2:$J$14,3,FALSE),0)</f>
        <v>34195</v>
      </c>
      <c r="BK345" s="8">
        <f>_xlfn.IFNA(VLOOKUP(Granger_Inventory[[#This Row],[condition]],Lookups!$H$17:$J$24,3,FALSE),0)</f>
        <v>80695</v>
      </c>
      <c r="BL345" s="8">
        <f>Granger_Inventory[[#This Row],[Age]]*Lookups!$B$16</f>
        <v>-15135.1703</v>
      </c>
      <c r="BM345" s="8">
        <f>Granger_Inventory[[#This Row],[living_area]]*Lookups!$B$17</f>
        <v>89338.423152000003</v>
      </c>
      <c r="BN345" s="8">
        <f>(Granger_Inventory[[#This Row],[att_gar]]+Granger_Inventory[[#This Row],[blt_gar]])*Lookups!$B$18</f>
        <v>0</v>
      </c>
      <c r="BO345" s="8">
        <f>Granger_Inventory[[#This Row],[Patio]]*Lookups!$B$19</f>
        <v>4345.2076799999995</v>
      </c>
      <c r="BP345" s="8">
        <f>SUM(Granger_Inventory[[#This Row],[Intercept]:[Patio_Value]])*Granger_Inventory[[#This Row],[res_pct]]</f>
        <v>223142.01953200001</v>
      </c>
      <c r="BQ345" s="8">
        <f>Granger_Inventory[[#This Row],[land_value]]</f>
        <v>36111.912097107357</v>
      </c>
      <c r="BR345" s="4">
        <f>_xlfn.IFNA(VLOOKUP(Granger_Inventory[[#This Row],[quality]],Lookups!$A$25:$C$35,3,FALSE),1)</f>
        <v>0.98258795897788032</v>
      </c>
      <c r="BS345" s="4">
        <f>_xlfn.IFNA(VLOOKUP(Granger_Inventory[[#This Row],[condition]],Lookups!$A$38:$C$45,3,FALSE),1)</f>
        <v>0.99484195314749324</v>
      </c>
      <c r="BT345" s="4">
        <f>IF(Granger_Inventory[[#This Row],[decade]]="",1,_xlfn.IFNA(VLOOKUP(Granger_Inventory[[#This Row],[decade]],Lookups!$G$28:$I$42,3,FALSE),1))</f>
        <v>0.76006056002554967</v>
      </c>
      <c r="BU345" s="4">
        <f>_xlfn.IFNA(VLOOKUP(Granger_Inventory[[#This Row],[living_area_range]],Lookups!$A$48:$C$57,3,FALSE),1)</f>
        <v>0.97960506760539345</v>
      </c>
      <c r="BV345" s="4">
        <f>AVERAGE(Granger_Inventory[[#This Row],[qual_adj]:[living_range_adj]])</f>
        <v>0.92927388493907914</v>
      </c>
      <c r="BW345" s="8">
        <f>(Granger_Inventory[[#This Row],[sum_land]]-IF(Granger_Inventory[[#This Row],[no_utilities]]=1,12000,0))/IF(Granger_Inventory[[#This Row],[unbuildable]]=1,2,1)</f>
        <v>36111.912097107357</v>
      </c>
      <c r="BX345" s="8">
        <f>Granger_Inventory[[#This Row],[pre_res]]*Granger_Inventory[[#This Row],[overall_adj]]</f>
        <v>207360.05138365351</v>
      </c>
      <c r="BY345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345">
        <f>ROUND(Granger_Inventory[[#This Row],[detatched_value]]*Lookups!$I$45,-2)</f>
        <v>36400</v>
      </c>
      <c r="CA345">
        <f>IF(ROUND(Granger_Inventory[[#This Row],[adj_res]]*Lookups!$I$45,-2)&lt;Granger_Inventory[[#This Row],[min_res]],Granger_Inventory[[#This Row],[min_res]],ROUND(Granger_Inventory[[#This Row],[adj_res]]*Lookups!$I$45,-2))</f>
        <v>197000</v>
      </c>
      <c r="CB345">
        <f>Granger_Inventory[[#This Row],[final_det]]+Granger_Inventory[[#This Row],[final_res]]</f>
        <v>233400</v>
      </c>
      <c r="CC345">
        <f>Granger_Inventory[[#This Row],[final_land]]+Granger_Inventory[[#This Row],[final_imp]]+Granger_Inventory[[#This Row],[crop_value]]</f>
        <v>267700</v>
      </c>
      <c r="CE345" t="str">
        <f t="shared" si="5"/>
        <v>update valuation set market_land =34300, market_bldg=233400, market_total =267700, market_mdno =402, market_date ='9/10/2023' where link_id = (select link_id from parcel where parcel_year = '2024' and parcel_id = '21102112504');</v>
      </c>
    </row>
    <row r="346" spans="1:83" x14ac:dyDescent="0.25">
      <c r="A346">
        <v>21102112505</v>
      </c>
      <c r="B346">
        <v>0.26</v>
      </c>
      <c r="C346">
        <v>11451</v>
      </c>
      <c r="D346" t="s">
        <v>137</v>
      </c>
      <c r="E346" t="s">
        <v>54</v>
      </c>
      <c r="F346" t="s">
        <v>54</v>
      </c>
      <c r="G346">
        <v>3</v>
      </c>
      <c r="H346" t="s">
        <v>55</v>
      </c>
      <c r="I346">
        <v>161100</v>
      </c>
      <c r="J346">
        <v>29600</v>
      </c>
      <c r="K346">
        <v>0.26</v>
      </c>
      <c r="L346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346">
        <v>0</v>
      </c>
      <c r="N346">
        <v>0</v>
      </c>
      <c r="O346">
        <v>0</v>
      </c>
      <c r="P346">
        <v>47108.068500000001</v>
      </c>
      <c r="Q346">
        <v>122298</v>
      </c>
      <c r="R346">
        <f>(Granger_Inventory[[#This Row],[ln_acres]]*Granger_Inventory[[#This Row],[coeff]])+Granger_Inventory[[#This Row],[const]]</f>
        <v>58839.962317044083</v>
      </c>
      <c r="S346" t="s">
        <v>56</v>
      </c>
      <c r="T346">
        <v>1</v>
      </c>
      <c r="U346" t="s">
        <v>71</v>
      </c>
      <c r="V346" t="s">
        <v>70</v>
      </c>
      <c r="W346">
        <v>0</v>
      </c>
      <c r="X346">
        <v>0</v>
      </c>
      <c r="Y346">
        <v>17</v>
      </c>
      <c r="Z346">
        <v>17</v>
      </c>
      <c r="AA346">
        <v>20</v>
      </c>
      <c r="AB346">
        <v>1500</v>
      </c>
      <c r="AC346">
        <v>1040</v>
      </c>
      <c r="AD346">
        <v>1040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7</v>
      </c>
      <c r="AQ346">
        <v>0</v>
      </c>
      <c r="AR346">
        <v>0</v>
      </c>
      <c r="AS346" t="s">
        <v>59</v>
      </c>
      <c r="AT346">
        <v>1</v>
      </c>
      <c r="AU346" t="s">
        <v>76</v>
      </c>
      <c r="AV346" t="s">
        <v>65</v>
      </c>
      <c r="AW346">
        <v>0</v>
      </c>
      <c r="AX346">
        <v>2</v>
      </c>
      <c r="AY346">
        <v>0</v>
      </c>
      <c r="AZ346">
        <v>0</v>
      </c>
      <c r="BA346">
        <v>100</v>
      </c>
      <c r="BB346">
        <v>100</v>
      </c>
      <c r="BC346">
        <v>100</v>
      </c>
      <c r="BD346">
        <v>100</v>
      </c>
      <c r="BE346">
        <v>1</v>
      </c>
      <c r="BF346">
        <v>15000</v>
      </c>
      <c r="BG346">
        <v>1000</v>
      </c>
      <c r="BH346" s="8">
        <f>Granger_Inventory[[#This Row],[land_extract]]*Lookups!$B$3</f>
        <v>35052.777823102522</v>
      </c>
      <c r="BI346" s="8">
        <f>IF(Granger_Inventory[[#This Row],[bldg_style]]="",0,Lookups!$B$2)</f>
        <v>29703.559000000001</v>
      </c>
      <c r="BJ346" s="8">
        <f>_xlfn.IFNA(VLOOKUP(Granger_Inventory[[#This Row],[quality]],Lookups!$H$2:$J$14,3,FALSE),0)</f>
        <v>34195</v>
      </c>
      <c r="BK346" s="8">
        <f>_xlfn.IFNA(VLOOKUP(Granger_Inventory[[#This Row],[condition]],Lookups!$H$17:$J$24,3,FALSE),0)</f>
        <v>80695</v>
      </c>
      <c r="BL346" s="8">
        <f>Granger_Inventory[[#This Row],[Age]]*Lookups!$B$16</f>
        <v>-3524.6286999999998</v>
      </c>
      <c r="BM346" s="8">
        <f>Granger_Inventory[[#This Row],[living_area]]*Lookups!$B$17</f>
        <v>69963.825360000003</v>
      </c>
      <c r="BN346" s="8">
        <f>(Granger_Inventory[[#This Row],[att_gar]]+Granger_Inventory[[#This Row],[blt_gar]])*Lookups!$B$18</f>
        <v>0</v>
      </c>
      <c r="BO346" s="8">
        <f>Granger_Inventory[[#This Row],[Patio]]*Lookups!$B$19</f>
        <v>0</v>
      </c>
      <c r="BP346" s="8">
        <f>SUM(Granger_Inventory[[#This Row],[Intercept]:[Patio_Value]])*Granger_Inventory[[#This Row],[res_pct]]</f>
        <v>211032.75566000002</v>
      </c>
      <c r="BQ346" s="8">
        <f>Granger_Inventory[[#This Row],[land_value]]</f>
        <v>35052.777823102522</v>
      </c>
      <c r="BR346" s="4">
        <f>_xlfn.IFNA(VLOOKUP(Granger_Inventory[[#This Row],[quality]],Lookups!$A$25:$C$35,3,FALSE),1)</f>
        <v>0.98258795897788032</v>
      </c>
      <c r="BS346" s="4">
        <f>_xlfn.IFNA(VLOOKUP(Granger_Inventory[[#This Row],[condition]],Lookups!$A$38:$C$45,3,FALSE),1)</f>
        <v>0.99484195314749324</v>
      </c>
      <c r="BT346" s="4">
        <f>IF(Granger_Inventory[[#This Row],[decade]]="",1,_xlfn.IFNA(VLOOKUP(Granger_Inventory[[#This Row],[decade]],Lookups!$G$28:$I$42,3,FALSE),1))</f>
        <v>1.0159161060824455</v>
      </c>
      <c r="BU346" s="4">
        <f>_xlfn.IFNA(VLOOKUP(Granger_Inventory[[#This Row],[living_area_range]],Lookups!$A$48:$C$57,3,FALSE),1)</f>
        <v>0.97960506760539345</v>
      </c>
      <c r="BV346" s="4">
        <f>AVERAGE(Granger_Inventory[[#This Row],[qual_adj]:[living_range_adj]])</f>
        <v>0.99323777145330316</v>
      </c>
      <c r="BW346" s="8">
        <f>(Granger_Inventory[[#This Row],[sum_land]]-IF(Granger_Inventory[[#This Row],[no_utilities]]=1,12000,0))/IF(Granger_Inventory[[#This Row],[unbuildable]]=1,2,1)</f>
        <v>35052.777823102522</v>
      </c>
      <c r="BX346" s="8">
        <f>Granger_Inventory[[#This Row],[pre_res]]*Granger_Inventory[[#This Row],[overall_adj]]</f>
        <v>209605.70393538786</v>
      </c>
      <c r="BY346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346">
        <f>ROUND(Granger_Inventory[[#This Row],[detatched_value]]*Lookups!$I$45,-2)</f>
        <v>0</v>
      </c>
      <c r="CA346">
        <f>IF(ROUND(Granger_Inventory[[#This Row],[adj_res]]*Lookups!$I$45,-2)&lt;Granger_Inventory[[#This Row],[min_res]],Granger_Inventory[[#This Row],[min_res]],ROUND(Granger_Inventory[[#This Row],[adj_res]]*Lookups!$I$45,-2))</f>
        <v>199100</v>
      </c>
      <c r="CB346">
        <f>Granger_Inventory[[#This Row],[final_det]]+Granger_Inventory[[#This Row],[final_res]]</f>
        <v>199100</v>
      </c>
      <c r="CC346">
        <f>Granger_Inventory[[#This Row],[final_land]]+Granger_Inventory[[#This Row],[final_imp]]+Granger_Inventory[[#This Row],[crop_value]]</f>
        <v>232400</v>
      </c>
      <c r="CE346" t="str">
        <f t="shared" si="5"/>
        <v>update valuation set market_land =33300, market_bldg=199100, market_total =232400, market_mdno =402, market_date ='9/10/2023' where link_id = (select link_id from parcel where parcel_year = '2024' and parcel_id = '21102112505');</v>
      </c>
    </row>
    <row r="347" spans="1:83" x14ac:dyDescent="0.25">
      <c r="A347">
        <v>21102112506</v>
      </c>
      <c r="B347">
        <v>0.26</v>
      </c>
      <c r="C347" t="s">
        <v>137</v>
      </c>
      <c r="D347" t="s">
        <v>137</v>
      </c>
      <c r="E347" t="s">
        <v>54</v>
      </c>
      <c r="F347" t="s">
        <v>54</v>
      </c>
      <c r="G347">
        <v>3</v>
      </c>
      <c r="H347" t="s">
        <v>55</v>
      </c>
      <c r="I347">
        <v>324100</v>
      </c>
      <c r="J347">
        <v>29600</v>
      </c>
      <c r="K347">
        <v>0.26</v>
      </c>
      <c r="L347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347">
        <v>0</v>
      </c>
      <c r="N347">
        <v>0</v>
      </c>
      <c r="O347">
        <v>0</v>
      </c>
      <c r="P347">
        <v>47108.068500000001</v>
      </c>
      <c r="Q347">
        <v>122298</v>
      </c>
      <c r="R347">
        <f>(Granger_Inventory[[#This Row],[ln_acres]]*Granger_Inventory[[#This Row],[coeff]])+Granger_Inventory[[#This Row],[const]]</f>
        <v>58839.962317044083</v>
      </c>
      <c r="S347" t="s">
        <v>56</v>
      </c>
      <c r="T347">
        <v>1</v>
      </c>
      <c r="U347" t="s">
        <v>57</v>
      </c>
      <c r="V347" t="s">
        <v>70</v>
      </c>
      <c r="W347">
        <v>0</v>
      </c>
      <c r="X347">
        <v>0</v>
      </c>
      <c r="Y347">
        <v>16</v>
      </c>
      <c r="Z347">
        <v>16</v>
      </c>
      <c r="AA347">
        <v>20</v>
      </c>
      <c r="AB347">
        <v>2000</v>
      </c>
      <c r="AC347">
        <v>1618</v>
      </c>
      <c r="AD347">
        <v>1618</v>
      </c>
      <c r="AE347">
        <v>0</v>
      </c>
      <c r="AF347">
        <v>0</v>
      </c>
      <c r="AG347">
        <v>0</v>
      </c>
      <c r="AH347">
        <v>0</v>
      </c>
      <c r="AI347">
        <v>720</v>
      </c>
      <c r="AJ347">
        <v>0</v>
      </c>
      <c r="AK347">
        <v>432</v>
      </c>
      <c r="AL347">
        <v>0</v>
      </c>
      <c r="AM347">
        <v>495</v>
      </c>
      <c r="AN347">
        <v>96</v>
      </c>
      <c r="AO347">
        <v>0</v>
      </c>
      <c r="AP347">
        <v>8</v>
      </c>
      <c r="AQ347">
        <v>0</v>
      </c>
      <c r="AR347">
        <v>0</v>
      </c>
      <c r="AS347" t="s">
        <v>59</v>
      </c>
      <c r="AT347">
        <v>1</v>
      </c>
      <c r="AU347" t="s">
        <v>60</v>
      </c>
      <c r="AV347" t="s">
        <v>61</v>
      </c>
      <c r="AW347">
        <v>1</v>
      </c>
      <c r="AX347">
        <v>3</v>
      </c>
      <c r="AY347">
        <v>0</v>
      </c>
      <c r="AZ347">
        <v>0</v>
      </c>
      <c r="BA347">
        <v>100</v>
      </c>
      <c r="BB347">
        <v>100</v>
      </c>
      <c r="BC347">
        <v>100</v>
      </c>
      <c r="BD347">
        <v>100</v>
      </c>
      <c r="BE347">
        <v>1</v>
      </c>
      <c r="BF347">
        <v>15000</v>
      </c>
      <c r="BG347">
        <v>1000</v>
      </c>
      <c r="BH347" s="8">
        <f>Granger_Inventory[[#This Row],[land_extract]]*Lookups!$B$3</f>
        <v>35052.777823102522</v>
      </c>
      <c r="BI347" s="8">
        <f>IF(Granger_Inventory[[#This Row],[bldg_style]]="",0,Lookups!$B$2)</f>
        <v>29703.559000000001</v>
      </c>
      <c r="BJ347" s="8">
        <f>_xlfn.IFNA(VLOOKUP(Granger_Inventory[[#This Row],[quality]],Lookups!$H$2:$J$14,3,FALSE),0)</f>
        <v>56414</v>
      </c>
      <c r="BK347" s="8">
        <f>_xlfn.IFNA(VLOOKUP(Granger_Inventory[[#This Row],[condition]],Lookups!$H$17:$J$24,3,FALSE),0)</f>
        <v>80695</v>
      </c>
      <c r="BL347" s="8">
        <f>Granger_Inventory[[#This Row],[Age]]*Lookups!$B$16</f>
        <v>-3317.2975999999999</v>
      </c>
      <c r="BM347" s="8">
        <f>Granger_Inventory[[#This Row],[living_area]]*Lookups!$B$17</f>
        <v>108847.566762</v>
      </c>
      <c r="BN347" s="8">
        <f>(Granger_Inventory[[#This Row],[att_gar]]+Granger_Inventory[[#This Row],[blt_gar]])*Lookups!$B$18</f>
        <v>34882.261920000004</v>
      </c>
      <c r="BO347" s="8">
        <f>Granger_Inventory[[#This Row],[Patio]]*Lookups!$B$19</f>
        <v>26885.972519999999</v>
      </c>
      <c r="BP347" s="8">
        <f>SUM(Granger_Inventory[[#This Row],[Intercept]:[Patio_Value]])*Granger_Inventory[[#This Row],[res_pct]]</f>
        <v>334111.06260200008</v>
      </c>
      <c r="BQ347" s="8">
        <f>Granger_Inventory[[#This Row],[land_value]]</f>
        <v>35052.777823102522</v>
      </c>
      <c r="BR347" s="4">
        <f>_xlfn.IFNA(VLOOKUP(Granger_Inventory[[#This Row],[quality]],Lookups!$A$25:$C$35,3,FALSE),1)</f>
        <v>0.98791809110152173</v>
      </c>
      <c r="BS347" s="4">
        <f>_xlfn.IFNA(VLOOKUP(Granger_Inventory[[#This Row],[condition]],Lookups!$A$38:$C$45,3,FALSE),1)</f>
        <v>0.99484195314749324</v>
      </c>
      <c r="BT347" s="4">
        <f>IF(Granger_Inventory[[#This Row],[decade]]="",1,_xlfn.IFNA(VLOOKUP(Granger_Inventory[[#This Row],[decade]],Lookups!$G$28:$I$42,3,FALSE),1))</f>
        <v>1.0159161060824455</v>
      </c>
      <c r="BU347" s="4">
        <f>_xlfn.IFNA(VLOOKUP(Granger_Inventory[[#This Row],[living_area_range]],Lookups!$A$48:$C$57,3,FALSE),1)</f>
        <v>0.97860968051050168</v>
      </c>
      <c r="BV347" s="4">
        <f>AVERAGE(Granger_Inventory[[#This Row],[qual_adj]:[living_range_adj]])</f>
        <v>0.99432145771049063</v>
      </c>
      <c r="BW347" s="8">
        <f>(Granger_Inventory[[#This Row],[sum_land]]-IF(Granger_Inventory[[#This Row],[no_utilities]]=1,12000,0))/IF(Granger_Inventory[[#This Row],[unbuildable]]=1,2,1)</f>
        <v>35052.777823102522</v>
      </c>
      <c r="BX347" s="8">
        <f>Granger_Inventory[[#This Row],[pre_res]]*Granger_Inventory[[#This Row],[overall_adj]]</f>
        <v>332213.79880362173</v>
      </c>
      <c r="BY347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347">
        <f>ROUND(Granger_Inventory[[#This Row],[detatched_value]]*Lookups!$I$45,-2)</f>
        <v>0</v>
      </c>
      <c r="CA347">
        <f>IF(ROUND(Granger_Inventory[[#This Row],[adj_res]]*Lookups!$I$45,-2)&lt;Granger_Inventory[[#This Row],[min_res]],Granger_Inventory[[#This Row],[min_res]],ROUND(Granger_Inventory[[#This Row],[adj_res]]*Lookups!$I$45,-2))</f>
        <v>315600</v>
      </c>
      <c r="CB347">
        <f>Granger_Inventory[[#This Row],[final_det]]+Granger_Inventory[[#This Row],[final_res]]</f>
        <v>315600</v>
      </c>
      <c r="CC347">
        <f>Granger_Inventory[[#This Row],[final_land]]+Granger_Inventory[[#This Row],[final_imp]]+Granger_Inventory[[#This Row],[crop_value]]</f>
        <v>348900</v>
      </c>
      <c r="CE347" t="str">
        <f t="shared" si="5"/>
        <v>update valuation set market_land =33300, market_bldg=315600, market_total =348900, market_mdno =402, market_date ='9/10/2023' where link_id = (select link_id from parcel where parcel_year = '2024' and parcel_id = '21102112506');</v>
      </c>
    </row>
    <row r="348" spans="1:83" x14ac:dyDescent="0.25">
      <c r="A348">
        <v>21102113404</v>
      </c>
      <c r="B348">
        <v>0.82</v>
      </c>
      <c r="C348">
        <v>35791</v>
      </c>
      <c r="D348" t="s">
        <v>137</v>
      </c>
      <c r="E348" t="s">
        <v>54</v>
      </c>
      <c r="F348" t="s">
        <v>54</v>
      </c>
      <c r="G348">
        <v>3</v>
      </c>
      <c r="H348" t="s">
        <v>55</v>
      </c>
      <c r="I348">
        <v>106400</v>
      </c>
      <c r="J348">
        <v>36400</v>
      </c>
      <c r="K348">
        <v>0.82</v>
      </c>
      <c r="L348">
        <f>IF(Granger_Inventory[[#This Row],[parcel_acres]]-Granger_Inventory[[#This Row],[non_valued_acres]] =0,0,LN(Granger_Inventory[[#This Row],[parcel_acres]]-Granger_Inventory[[#This Row],[non_valued_acres]]))</f>
        <v>-0.19845093872383832</v>
      </c>
      <c r="M348">
        <v>0</v>
      </c>
      <c r="N348">
        <v>0</v>
      </c>
      <c r="O348">
        <v>0</v>
      </c>
      <c r="P348">
        <v>47108.068500000001</v>
      </c>
      <c r="Q348">
        <v>122298</v>
      </c>
      <c r="R348">
        <f>(Granger_Inventory[[#This Row],[ln_acres]]*Granger_Inventory[[#This Row],[coeff]])+Granger_Inventory[[#This Row],[const]]</f>
        <v>112949.35958470812</v>
      </c>
      <c r="S348" t="s">
        <v>69</v>
      </c>
      <c r="T348">
        <v>1</v>
      </c>
      <c r="U348" t="s">
        <v>64</v>
      </c>
      <c r="V348" t="s">
        <v>77</v>
      </c>
      <c r="W348">
        <v>0</v>
      </c>
      <c r="X348">
        <v>0</v>
      </c>
      <c r="Y348">
        <v>55</v>
      </c>
      <c r="Z348">
        <v>98</v>
      </c>
      <c r="AA348">
        <v>100</v>
      </c>
      <c r="AB348">
        <v>1500</v>
      </c>
      <c r="AC348">
        <v>1236</v>
      </c>
      <c r="AD348">
        <v>1236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230</v>
      </c>
      <c r="AO348">
        <v>0</v>
      </c>
      <c r="AP348">
        <v>5</v>
      </c>
      <c r="AQ348">
        <v>0</v>
      </c>
      <c r="AR348">
        <v>0</v>
      </c>
      <c r="AS348" t="s">
        <v>59</v>
      </c>
      <c r="AT348">
        <v>1</v>
      </c>
      <c r="AU348" t="s">
        <v>63</v>
      </c>
      <c r="AV348" t="s">
        <v>65</v>
      </c>
      <c r="AW348">
        <v>1</v>
      </c>
      <c r="AX348">
        <v>3</v>
      </c>
      <c r="AY348">
        <v>0</v>
      </c>
      <c r="AZ348">
        <v>0</v>
      </c>
      <c r="BA348">
        <v>100</v>
      </c>
      <c r="BB348">
        <v>100</v>
      </c>
      <c r="BC348">
        <v>100</v>
      </c>
      <c r="BD348">
        <v>100</v>
      </c>
      <c r="BE348">
        <v>1</v>
      </c>
      <c r="BF348">
        <v>15000</v>
      </c>
      <c r="BG348">
        <v>1000</v>
      </c>
      <c r="BH348" s="8">
        <f>Granger_Inventory[[#This Row],[land_extract]]*Lookups!$B$3</f>
        <v>67287.41234488583</v>
      </c>
      <c r="BI348" s="8">
        <f>IF(Granger_Inventory[[#This Row],[bldg_style]]="",0,Lookups!$B$2)</f>
        <v>29703.559000000001</v>
      </c>
      <c r="BJ348" s="8">
        <f>_xlfn.IFNA(VLOOKUP(Granger_Inventory[[#This Row],[quality]],Lookups!$H$2:$J$14,3,FALSE),0)</f>
        <v>36568</v>
      </c>
      <c r="BK348" s="8">
        <f>_xlfn.IFNA(VLOOKUP(Granger_Inventory[[#This Row],[condition]],Lookups!$H$17:$J$24,3,FALSE),0)</f>
        <v>33736</v>
      </c>
      <c r="BL348" s="8">
        <f>Granger_Inventory[[#This Row],[Age]]*Lookups!$B$16</f>
        <v>-20318.447799999998</v>
      </c>
      <c r="BM348" s="8">
        <f>Granger_Inventory[[#This Row],[living_area]]*Lookups!$B$17</f>
        <v>83149.315524000005</v>
      </c>
      <c r="BN348" s="8">
        <f>(Granger_Inventory[[#This Row],[att_gar]]+Granger_Inventory[[#This Row],[blt_gar]])*Lookups!$B$18</f>
        <v>0</v>
      </c>
      <c r="BO348" s="8">
        <f>Granger_Inventory[[#This Row],[Patio]]*Lookups!$B$19</f>
        <v>0</v>
      </c>
      <c r="BP348" s="8">
        <f>SUM(Granger_Inventory[[#This Row],[Intercept]:[Patio_Value]])*Granger_Inventory[[#This Row],[res_pct]]</f>
        <v>162838.42672400002</v>
      </c>
      <c r="BQ348" s="8">
        <f>Granger_Inventory[[#This Row],[land_value]]</f>
        <v>67287.41234488583</v>
      </c>
      <c r="BR348" s="4">
        <f>_xlfn.IFNA(VLOOKUP(Granger_Inventory[[#This Row],[quality]],Lookups!$A$25:$C$35,3,FALSE),1)</f>
        <v>0.99049976351917957</v>
      </c>
      <c r="BS348" s="4">
        <f>_xlfn.IFNA(VLOOKUP(Granger_Inventory[[#This Row],[condition]],Lookups!$A$38:$C$45,3,FALSE),1)</f>
        <v>0.92294678898076177</v>
      </c>
      <c r="BT348" s="4">
        <f>IF(Granger_Inventory[[#This Row],[decade]]="",1,_xlfn.IFNA(VLOOKUP(Granger_Inventory[[#This Row],[decade]],Lookups!$G$28:$I$42,3,FALSE),1))</f>
        <v>0.879441629375324</v>
      </c>
      <c r="BU348" s="4">
        <f>_xlfn.IFNA(VLOOKUP(Granger_Inventory[[#This Row],[living_area_range]],Lookups!$A$48:$C$57,3,FALSE),1)</f>
        <v>0.97960506760539345</v>
      </c>
      <c r="BV348" s="4">
        <f>AVERAGE(Granger_Inventory[[#This Row],[qual_adj]:[living_range_adj]])</f>
        <v>0.94312331237016478</v>
      </c>
      <c r="BW348" s="8">
        <f>(Granger_Inventory[[#This Row],[sum_land]]-IF(Granger_Inventory[[#This Row],[no_utilities]]=1,12000,0))/IF(Granger_Inventory[[#This Row],[unbuildable]]=1,2,1)</f>
        <v>67287.41234488583</v>
      </c>
      <c r="BX348" s="8">
        <f>Granger_Inventory[[#This Row],[pre_res]]*Granger_Inventory[[#This Row],[overall_adj]]</f>
        <v>153576.71639308525</v>
      </c>
      <c r="BY348">
        <f>IF(ROUND(Granger_Inventory[[#This Row],[adj_land]]*Lookups!$I$45,-2)&lt;Granger_Inventory[[#This Row],[min_land]],Granger_Inventory[[#This Row],[min_land]],ROUND(Granger_Inventory[[#This Row],[adj_land]]*Lookups!$I$45,-2))</f>
        <v>63900</v>
      </c>
      <c r="BZ348">
        <f>ROUND(Granger_Inventory[[#This Row],[detatched_value]]*Lookups!$I$45,-2)</f>
        <v>0</v>
      </c>
      <c r="CA348">
        <f>IF(ROUND(Granger_Inventory[[#This Row],[adj_res]]*Lookups!$I$45,-2)&lt;Granger_Inventory[[#This Row],[min_res]],Granger_Inventory[[#This Row],[min_res]],ROUND(Granger_Inventory[[#This Row],[adj_res]]*Lookups!$I$45,-2))</f>
        <v>145900</v>
      </c>
      <c r="CB348">
        <f>Granger_Inventory[[#This Row],[final_det]]+Granger_Inventory[[#This Row],[final_res]]</f>
        <v>145900</v>
      </c>
      <c r="CC348">
        <f>Granger_Inventory[[#This Row],[final_land]]+Granger_Inventory[[#This Row],[final_imp]]+Granger_Inventory[[#This Row],[crop_value]]</f>
        <v>209800</v>
      </c>
      <c r="CE348" t="str">
        <f t="shared" si="5"/>
        <v>update valuation set market_land =63900, market_bldg=145900, market_total =209800, market_mdno =402, market_date ='9/10/2023' where link_id = (select link_id from parcel where parcel_year = '2024' and parcel_id = '21102113404');</v>
      </c>
    </row>
    <row r="349" spans="1:83" x14ac:dyDescent="0.25">
      <c r="A349">
        <v>21102113405</v>
      </c>
      <c r="B349">
        <v>0.84</v>
      </c>
      <c r="C349">
        <v>36455</v>
      </c>
      <c r="D349" t="s">
        <v>137</v>
      </c>
      <c r="E349" t="s">
        <v>54</v>
      </c>
      <c r="F349" t="s">
        <v>54</v>
      </c>
      <c r="G349">
        <v>3</v>
      </c>
      <c r="H349" t="s">
        <v>55</v>
      </c>
      <c r="I349">
        <v>76500</v>
      </c>
      <c r="J349">
        <v>36600</v>
      </c>
      <c r="K349">
        <v>0.84</v>
      </c>
      <c r="L349">
        <f>IF(Granger_Inventory[[#This Row],[parcel_acres]]-Granger_Inventory[[#This Row],[non_valued_acres]] =0,0,LN(Granger_Inventory[[#This Row],[parcel_acres]]-Granger_Inventory[[#This Row],[non_valued_acres]]))</f>
        <v>-0.1743533871447778</v>
      </c>
      <c r="M349">
        <v>0</v>
      </c>
      <c r="N349">
        <v>0</v>
      </c>
      <c r="O349">
        <v>0</v>
      </c>
      <c r="P349">
        <v>47108.068500000001</v>
      </c>
      <c r="Q349">
        <v>122298</v>
      </c>
      <c r="R349">
        <f>(Granger_Inventory[[#This Row],[ln_acres]]*Granger_Inventory[[#This Row],[coeff]])+Granger_Inventory[[#This Row],[const]]</f>
        <v>114084.54869517678</v>
      </c>
      <c r="S349" t="s">
        <v>69</v>
      </c>
      <c r="T349">
        <v>1</v>
      </c>
      <c r="U349" t="s">
        <v>78</v>
      </c>
      <c r="V349" t="s">
        <v>77</v>
      </c>
      <c r="W349">
        <v>0</v>
      </c>
      <c r="X349">
        <v>0</v>
      </c>
      <c r="Y349">
        <v>49</v>
      </c>
      <c r="Z349">
        <v>68</v>
      </c>
      <c r="AA349">
        <v>70</v>
      </c>
      <c r="AB349">
        <v>1500</v>
      </c>
      <c r="AC349">
        <v>1008</v>
      </c>
      <c r="AD349">
        <v>1008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336</v>
      </c>
      <c r="AN349">
        <v>0</v>
      </c>
      <c r="AO349">
        <v>0</v>
      </c>
      <c r="AP349">
        <v>5</v>
      </c>
      <c r="AQ349">
        <v>0</v>
      </c>
      <c r="AR349">
        <v>1</v>
      </c>
      <c r="AS349" t="s">
        <v>59</v>
      </c>
      <c r="AT349">
        <v>1</v>
      </c>
      <c r="AU349" t="s">
        <v>60</v>
      </c>
      <c r="AV349" t="s">
        <v>65</v>
      </c>
      <c r="AW349">
        <v>0</v>
      </c>
      <c r="AX349">
        <v>2</v>
      </c>
      <c r="AY349">
        <v>0</v>
      </c>
      <c r="AZ349">
        <v>12100</v>
      </c>
      <c r="BA349">
        <v>100</v>
      </c>
      <c r="BB349">
        <v>100</v>
      </c>
      <c r="BC349">
        <v>100</v>
      </c>
      <c r="BD349">
        <v>100</v>
      </c>
      <c r="BE349">
        <v>1</v>
      </c>
      <c r="BF349">
        <v>15000</v>
      </c>
      <c r="BG349">
        <v>1000</v>
      </c>
      <c r="BH349" s="8">
        <f>Granger_Inventory[[#This Row],[land_extract]]*Lookups!$B$3</f>
        <v>67963.679461816617</v>
      </c>
      <c r="BI349" s="8">
        <f>IF(Granger_Inventory[[#This Row],[bldg_style]]="",0,Lookups!$B$2)</f>
        <v>29703.559000000001</v>
      </c>
      <c r="BJ349" s="8">
        <f>_xlfn.IFNA(VLOOKUP(Granger_Inventory[[#This Row],[quality]],Lookups!$H$2:$J$14,3,FALSE),0)</f>
        <v>23737.786340274597</v>
      </c>
      <c r="BK349" s="8">
        <f>_xlfn.IFNA(VLOOKUP(Granger_Inventory[[#This Row],[condition]],Lookups!$H$17:$J$24,3,FALSE),0)</f>
        <v>33736</v>
      </c>
      <c r="BL349" s="8">
        <f>Granger_Inventory[[#This Row],[Age]]*Lookups!$B$16</f>
        <v>-14098.514799999999</v>
      </c>
      <c r="BM349" s="8">
        <f>Granger_Inventory[[#This Row],[living_area]]*Lookups!$B$17</f>
        <v>67811.092271999994</v>
      </c>
      <c r="BN349" s="8">
        <f>(Granger_Inventory[[#This Row],[att_gar]]+Granger_Inventory[[#This Row],[blt_gar]])*Lookups!$B$18</f>
        <v>0</v>
      </c>
      <c r="BO349" s="8">
        <f>Granger_Inventory[[#This Row],[Patio]]*Lookups!$B$19</f>
        <v>18249.872255999999</v>
      </c>
      <c r="BP349" s="8">
        <f>SUM(Granger_Inventory[[#This Row],[Intercept]:[Patio_Value]])*Granger_Inventory[[#This Row],[res_pct]]</f>
        <v>159139.7950682746</v>
      </c>
      <c r="BQ349" s="8">
        <f>Granger_Inventory[[#This Row],[land_value]]</f>
        <v>67963.679461816617</v>
      </c>
      <c r="BR349" s="4">
        <f>_xlfn.IFNA(VLOOKUP(Granger_Inventory[[#This Row],[quality]],Lookups!$A$25:$C$35,3,FALSE),1)</f>
        <v>0.77695375541795109</v>
      </c>
      <c r="BS349" s="4">
        <f>_xlfn.IFNA(VLOOKUP(Granger_Inventory[[#This Row],[condition]],Lookups!$A$38:$C$45,3,FALSE),1)</f>
        <v>0.92294678898076177</v>
      </c>
      <c r="BT349" s="4">
        <f>IF(Granger_Inventory[[#This Row],[decade]]="",1,_xlfn.IFNA(VLOOKUP(Granger_Inventory[[#This Row],[decade]],Lookups!$G$28:$I$42,3,FALSE),1))</f>
        <v>1.0270382440255921</v>
      </c>
      <c r="BU349" s="4">
        <f>_xlfn.IFNA(VLOOKUP(Granger_Inventory[[#This Row],[living_area_range]],Lookups!$A$48:$C$57,3,FALSE),1)</f>
        <v>0.97960506760539345</v>
      </c>
      <c r="BV349" s="4">
        <f>AVERAGE(Granger_Inventory[[#This Row],[qual_adj]:[living_range_adj]])</f>
        <v>0.92663596400742465</v>
      </c>
      <c r="BW349" s="8">
        <f>(Granger_Inventory[[#This Row],[sum_land]]-IF(Granger_Inventory[[#This Row],[no_utilities]]=1,12000,0))/IF(Granger_Inventory[[#This Row],[unbuildable]]=1,2,1)</f>
        <v>67963.679461816617</v>
      </c>
      <c r="BX349" s="8">
        <f>Granger_Inventory[[#This Row],[pre_res]]*Granger_Inventory[[#This Row],[overall_adj]]</f>
        <v>147464.65741503463</v>
      </c>
      <c r="BY349">
        <f>IF(ROUND(Granger_Inventory[[#This Row],[adj_land]]*Lookups!$I$45,-2)&lt;Granger_Inventory[[#This Row],[min_land]],Granger_Inventory[[#This Row],[min_land]],ROUND(Granger_Inventory[[#This Row],[adj_land]]*Lookups!$I$45,-2))</f>
        <v>64600</v>
      </c>
      <c r="BZ349">
        <f>ROUND(Granger_Inventory[[#This Row],[detatched_value]]*Lookups!$I$45,-2)</f>
        <v>11500</v>
      </c>
      <c r="CA349">
        <f>IF(ROUND(Granger_Inventory[[#This Row],[adj_res]]*Lookups!$I$45,-2)&lt;Granger_Inventory[[#This Row],[min_res]],Granger_Inventory[[#This Row],[min_res]],ROUND(Granger_Inventory[[#This Row],[adj_res]]*Lookups!$I$45,-2))</f>
        <v>140100</v>
      </c>
      <c r="CB349">
        <f>Granger_Inventory[[#This Row],[final_det]]+Granger_Inventory[[#This Row],[final_res]]</f>
        <v>151600</v>
      </c>
      <c r="CC349">
        <f>Granger_Inventory[[#This Row],[final_land]]+Granger_Inventory[[#This Row],[final_imp]]+Granger_Inventory[[#This Row],[crop_value]]</f>
        <v>216200</v>
      </c>
      <c r="CE349" t="str">
        <f t="shared" si="5"/>
        <v>update valuation set market_land =64600, market_bldg=151600, market_total =216200, market_mdno =402, market_date ='9/10/2023' where link_id = (select link_id from parcel where parcel_year = '2024' and parcel_id = '21102113405');</v>
      </c>
    </row>
    <row r="350" spans="1:83" x14ac:dyDescent="0.25">
      <c r="A350">
        <v>21102113407</v>
      </c>
      <c r="B350">
        <v>0.28000000000000003</v>
      </c>
      <c r="C350">
        <v>11999</v>
      </c>
      <c r="D350" t="s">
        <v>137</v>
      </c>
      <c r="E350" t="s">
        <v>54</v>
      </c>
      <c r="F350" t="s">
        <v>54</v>
      </c>
      <c r="G350">
        <v>3</v>
      </c>
      <c r="H350" t="s">
        <v>55</v>
      </c>
      <c r="I350">
        <v>187700</v>
      </c>
      <c r="J350">
        <v>28100</v>
      </c>
      <c r="K350">
        <v>0.28000000000000003</v>
      </c>
      <c r="L350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350">
        <v>0</v>
      </c>
      <c r="N350">
        <v>0</v>
      </c>
      <c r="O350">
        <v>0</v>
      </c>
      <c r="P350">
        <v>47108.068500000001</v>
      </c>
      <c r="Q350">
        <v>122298</v>
      </c>
      <c r="R350">
        <f>(Granger_Inventory[[#This Row],[ln_acres]]*Granger_Inventory[[#This Row],[coeff]])+Granger_Inventory[[#This Row],[const]]</f>
        <v>62331.045745657706</v>
      </c>
      <c r="S350" t="s">
        <v>69</v>
      </c>
      <c r="T350">
        <v>1</v>
      </c>
      <c r="U350" t="s">
        <v>71</v>
      </c>
      <c r="V350" t="s">
        <v>77</v>
      </c>
      <c r="W350">
        <v>0</v>
      </c>
      <c r="X350">
        <v>0</v>
      </c>
      <c r="Y350">
        <v>50</v>
      </c>
      <c r="Z350">
        <v>73</v>
      </c>
      <c r="AA350">
        <v>80</v>
      </c>
      <c r="AB350">
        <v>1500</v>
      </c>
      <c r="AC350">
        <v>1362</v>
      </c>
      <c r="AD350">
        <v>1362</v>
      </c>
      <c r="AE350">
        <v>0</v>
      </c>
      <c r="AF350">
        <v>0</v>
      </c>
      <c r="AG350">
        <v>0</v>
      </c>
      <c r="AH350">
        <v>0</v>
      </c>
      <c r="AI350">
        <v>900</v>
      </c>
      <c r="AJ350">
        <v>0</v>
      </c>
      <c r="AK350">
        <v>484</v>
      </c>
      <c r="AL350">
        <v>0</v>
      </c>
      <c r="AM350">
        <v>0</v>
      </c>
      <c r="AN350">
        <v>0</v>
      </c>
      <c r="AO350">
        <v>0</v>
      </c>
      <c r="AP350">
        <v>7</v>
      </c>
      <c r="AQ350">
        <v>0</v>
      </c>
      <c r="AR350">
        <v>0</v>
      </c>
      <c r="AS350" t="s">
        <v>59</v>
      </c>
      <c r="AT350">
        <v>1</v>
      </c>
      <c r="AU350" t="s">
        <v>60</v>
      </c>
      <c r="AV350" t="s">
        <v>61</v>
      </c>
      <c r="AW350">
        <v>1</v>
      </c>
      <c r="AX350">
        <v>2</v>
      </c>
      <c r="AY350">
        <v>0</v>
      </c>
      <c r="AZ350">
        <v>26000</v>
      </c>
      <c r="BA350">
        <v>100</v>
      </c>
      <c r="BB350">
        <v>100</v>
      </c>
      <c r="BC350">
        <v>100</v>
      </c>
      <c r="BD350">
        <v>100</v>
      </c>
      <c r="BE350">
        <v>1</v>
      </c>
      <c r="BF350">
        <v>15000</v>
      </c>
      <c r="BG350">
        <v>1000</v>
      </c>
      <c r="BH350" s="8">
        <f>Granger_Inventory[[#This Row],[land_extract]]*Lookups!$B$3</f>
        <v>37132.523746897263</v>
      </c>
      <c r="BI350" s="8">
        <f>IF(Granger_Inventory[[#This Row],[bldg_style]]="",0,Lookups!$B$2)</f>
        <v>29703.559000000001</v>
      </c>
      <c r="BJ350" s="8">
        <f>_xlfn.IFNA(VLOOKUP(Granger_Inventory[[#This Row],[quality]],Lookups!$H$2:$J$14,3,FALSE),0)</f>
        <v>34195</v>
      </c>
      <c r="BK350" s="8">
        <f>_xlfn.IFNA(VLOOKUP(Granger_Inventory[[#This Row],[condition]],Lookups!$H$17:$J$24,3,FALSE),0)</f>
        <v>33736</v>
      </c>
      <c r="BL350" s="8">
        <f>Granger_Inventory[[#This Row],[Age]]*Lookups!$B$16</f>
        <v>-15135.1703</v>
      </c>
      <c r="BM350" s="8">
        <f>Granger_Inventory[[#This Row],[living_area]]*Lookups!$B$17</f>
        <v>91625.702057999995</v>
      </c>
      <c r="BN350" s="8">
        <f>(Granger_Inventory[[#This Row],[att_gar]]+Granger_Inventory[[#This Row],[blt_gar]])*Lookups!$B$18</f>
        <v>43602.827400000002</v>
      </c>
      <c r="BO350" s="8">
        <f>Granger_Inventory[[#This Row],[Patio]]*Lookups!$B$19</f>
        <v>0</v>
      </c>
      <c r="BP350" s="8">
        <f>SUM(Granger_Inventory[[#This Row],[Intercept]:[Patio_Value]])*Granger_Inventory[[#This Row],[res_pct]]</f>
        <v>217727.91815800001</v>
      </c>
      <c r="BQ350" s="8">
        <f>Granger_Inventory[[#This Row],[land_value]]</f>
        <v>37132.523746897263</v>
      </c>
      <c r="BR350" s="4">
        <f>_xlfn.IFNA(VLOOKUP(Granger_Inventory[[#This Row],[quality]],Lookups!$A$25:$C$35,3,FALSE),1)</f>
        <v>0.98258795897788032</v>
      </c>
      <c r="BS350" s="4">
        <f>_xlfn.IFNA(VLOOKUP(Granger_Inventory[[#This Row],[condition]],Lookups!$A$38:$C$45,3,FALSE),1)</f>
        <v>0.92294678898076177</v>
      </c>
      <c r="BT350" s="4">
        <f>IF(Granger_Inventory[[#This Row],[decade]]="",1,_xlfn.IFNA(VLOOKUP(Granger_Inventory[[#This Row],[decade]],Lookups!$G$28:$I$42,3,FALSE),1))</f>
        <v>0.76006056002554967</v>
      </c>
      <c r="BU350" s="4">
        <f>_xlfn.IFNA(VLOOKUP(Granger_Inventory[[#This Row],[living_area_range]],Lookups!$A$48:$C$57,3,FALSE),1)</f>
        <v>0.97960506760539345</v>
      </c>
      <c r="BV350" s="4">
        <f>AVERAGE(Granger_Inventory[[#This Row],[qual_adj]:[living_range_adj]])</f>
        <v>0.9113000938973963</v>
      </c>
      <c r="BW350" s="8">
        <f>(Granger_Inventory[[#This Row],[sum_land]]-IF(Granger_Inventory[[#This Row],[no_utilities]]=1,12000,0))/IF(Granger_Inventory[[#This Row],[unbuildable]]=1,2,1)</f>
        <v>37132.523746897263</v>
      </c>
      <c r="BX350" s="8">
        <f>Granger_Inventory[[#This Row],[pre_res]]*Granger_Inventory[[#This Row],[overall_adj]]</f>
        <v>198415.47226147004</v>
      </c>
      <c r="BY350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350">
        <f>ROUND(Granger_Inventory[[#This Row],[detatched_value]]*Lookups!$I$45,-2)</f>
        <v>24700</v>
      </c>
      <c r="CA350">
        <f>IF(ROUND(Granger_Inventory[[#This Row],[adj_res]]*Lookups!$I$45,-2)&lt;Granger_Inventory[[#This Row],[min_res]],Granger_Inventory[[#This Row],[min_res]],ROUND(Granger_Inventory[[#This Row],[adj_res]]*Lookups!$I$45,-2))</f>
        <v>188500</v>
      </c>
      <c r="CB350">
        <f>Granger_Inventory[[#This Row],[final_det]]+Granger_Inventory[[#This Row],[final_res]]</f>
        <v>213200</v>
      </c>
      <c r="CC350">
        <f>Granger_Inventory[[#This Row],[final_land]]+Granger_Inventory[[#This Row],[final_imp]]+Granger_Inventory[[#This Row],[crop_value]]</f>
        <v>248500</v>
      </c>
      <c r="CE350" t="str">
        <f t="shared" si="5"/>
        <v>update valuation set market_land =35300, market_bldg=213200, market_total =248500, market_mdno =402, market_date ='9/10/2023' where link_id = (select link_id from parcel where parcel_year = '2024' and parcel_id = '21102113407');</v>
      </c>
    </row>
    <row r="351" spans="1:83" x14ac:dyDescent="0.25">
      <c r="A351">
        <v>21102113409</v>
      </c>
      <c r="B351">
        <v>1.26</v>
      </c>
      <c r="C351">
        <v>54955</v>
      </c>
      <c r="D351" t="s">
        <v>137</v>
      </c>
      <c r="E351" t="s">
        <v>54</v>
      </c>
      <c r="F351" t="s">
        <v>54</v>
      </c>
      <c r="G351">
        <v>3</v>
      </c>
      <c r="H351" t="s">
        <v>55</v>
      </c>
      <c r="I351">
        <v>156200</v>
      </c>
      <c r="J351">
        <v>39000</v>
      </c>
      <c r="K351">
        <v>1.26</v>
      </c>
      <c r="L351">
        <f>IF(Granger_Inventory[[#This Row],[parcel_acres]]-Granger_Inventory[[#This Row],[non_valued_acres]] =0,0,LN(Granger_Inventory[[#This Row],[parcel_acres]]-Granger_Inventory[[#This Row],[non_valued_acres]]))</f>
        <v>0.23111172096338664</v>
      </c>
      <c r="M351">
        <v>0</v>
      </c>
      <c r="N351">
        <v>0</v>
      </c>
      <c r="O351">
        <v>0</v>
      </c>
      <c r="P351">
        <v>47108.068500000001</v>
      </c>
      <c r="Q351">
        <v>122298</v>
      </c>
      <c r="R351">
        <f>(Granger_Inventory[[#This Row],[ln_acres]]*Granger_Inventory[[#This Row],[coeff]])+Granger_Inventory[[#This Row],[const]]</f>
        <v>133185.22678229611</v>
      </c>
      <c r="S351" t="s">
        <v>69</v>
      </c>
      <c r="T351">
        <v>1</v>
      </c>
      <c r="U351" t="s">
        <v>71</v>
      </c>
      <c r="V351" t="s">
        <v>77</v>
      </c>
      <c r="W351">
        <v>0</v>
      </c>
      <c r="X351">
        <v>0</v>
      </c>
      <c r="Y351">
        <v>49</v>
      </c>
      <c r="Z351">
        <v>68</v>
      </c>
      <c r="AA351">
        <v>70</v>
      </c>
      <c r="AB351">
        <v>2000</v>
      </c>
      <c r="AC351">
        <v>1606</v>
      </c>
      <c r="AD351">
        <v>1606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448</v>
      </c>
      <c r="AN351">
        <v>0</v>
      </c>
      <c r="AO351">
        <v>448</v>
      </c>
      <c r="AP351">
        <v>5</v>
      </c>
      <c r="AQ351">
        <v>0</v>
      </c>
      <c r="AR351">
        <v>0</v>
      </c>
      <c r="AS351" t="s">
        <v>59</v>
      </c>
      <c r="AT351">
        <v>1</v>
      </c>
      <c r="AU351" t="s">
        <v>60</v>
      </c>
      <c r="AV351" t="s">
        <v>61</v>
      </c>
      <c r="AW351">
        <v>0</v>
      </c>
      <c r="AX351">
        <v>3</v>
      </c>
      <c r="AY351">
        <v>0</v>
      </c>
      <c r="AZ351">
        <v>8000</v>
      </c>
      <c r="BA351">
        <v>100</v>
      </c>
      <c r="BB351">
        <v>100</v>
      </c>
      <c r="BC351">
        <v>100</v>
      </c>
      <c r="BD351">
        <v>100</v>
      </c>
      <c r="BE351">
        <v>1</v>
      </c>
      <c r="BF351">
        <v>15000</v>
      </c>
      <c r="BG351">
        <v>1000</v>
      </c>
      <c r="BH351" s="8">
        <f>Granger_Inventory[[#This Row],[land_extract]]*Lookups!$B$3</f>
        <v>79342.541699198686</v>
      </c>
      <c r="BI351" s="8">
        <f>IF(Granger_Inventory[[#This Row],[bldg_style]]="",0,Lookups!$B$2)</f>
        <v>29703.559000000001</v>
      </c>
      <c r="BJ351" s="8">
        <f>_xlfn.IFNA(VLOOKUP(Granger_Inventory[[#This Row],[quality]],Lookups!$H$2:$J$14,3,FALSE),0)</f>
        <v>34195</v>
      </c>
      <c r="BK351" s="8">
        <f>_xlfn.IFNA(VLOOKUP(Granger_Inventory[[#This Row],[condition]],Lookups!$H$17:$J$24,3,FALSE),0)</f>
        <v>33736</v>
      </c>
      <c r="BL351" s="8">
        <f>Granger_Inventory[[#This Row],[Age]]*Lookups!$B$16</f>
        <v>-14098.514799999999</v>
      </c>
      <c r="BM351" s="8">
        <f>Granger_Inventory[[#This Row],[living_area]]*Lookups!$B$17</f>
        <v>108040.291854</v>
      </c>
      <c r="BN351" s="8">
        <f>(Granger_Inventory[[#This Row],[att_gar]]+Granger_Inventory[[#This Row],[blt_gar]])*Lookups!$B$18</f>
        <v>0</v>
      </c>
      <c r="BO351" s="8">
        <f>Granger_Inventory[[#This Row],[Patio]]*Lookups!$B$19</f>
        <v>24333.163008</v>
      </c>
      <c r="BP351" s="8">
        <f>SUM(Granger_Inventory[[#This Row],[Intercept]:[Patio_Value]])*Granger_Inventory[[#This Row],[res_pct]]</f>
        <v>215909.49906200002</v>
      </c>
      <c r="BQ351" s="8">
        <f>Granger_Inventory[[#This Row],[land_value]]</f>
        <v>79342.541699198686</v>
      </c>
      <c r="BR351" s="4">
        <f>_xlfn.IFNA(VLOOKUP(Granger_Inventory[[#This Row],[quality]],Lookups!$A$25:$C$35,3,FALSE),1)</f>
        <v>0.98258795897788032</v>
      </c>
      <c r="BS351" s="4">
        <f>_xlfn.IFNA(VLOOKUP(Granger_Inventory[[#This Row],[condition]],Lookups!$A$38:$C$45,3,FALSE),1)</f>
        <v>0.92294678898076177</v>
      </c>
      <c r="BT351" s="4">
        <f>IF(Granger_Inventory[[#This Row],[decade]]="",1,_xlfn.IFNA(VLOOKUP(Granger_Inventory[[#This Row],[decade]],Lookups!$G$28:$I$42,3,FALSE),1))</f>
        <v>1.0270382440255921</v>
      </c>
      <c r="BU351" s="4">
        <f>_xlfn.IFNA(VLOOKUP(Granger_Inventory[[#This Row],[living_area_range]],Lookups!$A$48:$C$57,3,FALSE),1)</f>
        <v>0.97860968051050168</v>
      </c>
      <c r="BV351" s="4">
        <f>AVERAGE(Granger_Inventory[[#This Row],[qual_adj]:[living_range_adj]])</f>
        <v>0.9777956681236839</v>
      </c>
      <c r="BW351" s="8">
        <f>(Granger_Inventory[[#This Row],[sum_land]]-IF(Granger_Inventory[[#This Row],[no_utilities]]=1,12000,0))/IF(Granger_Inventory[[#This Row],[unbuildable]]=1,2,1)</f>
        <v>79342.541699198686</v>
      </c>
      <c r="BX351" s="8">
        <f>Granger_Inventory[[#This Row],[pre_res]]*Granger_Inventory[[#This Row],[overall_adj]]</f>
        <v>211115.3728895782</v>
      </c>
      <c r="BY351">
        <f>IF(ROUND(Granger_Inventory[[#This Row],[adj_land]]*Lookups!$I$45,-2)&lt;Granger_Inventory[[#This Row],[min_land]],Granger_Inventory[[#This Row],[min_land]],ROUND(Granger_Inventory[[#This Row],[adj_land]]*Lookups!$I$45,-2))</f>
        <v>75400</v>
      </c>
      <c r="BZ351">
        <f>ROUND(Granger_Inventory[[#This Row],[detatched_value]]*Lookups!$I$45,-2)</f>
        <v>7600</v>
      </c>
      <c r="CA351">
        <f>IF(ROUND(Granger_Inventory[[#This Row],[adj_res]]*Lookups!$I$45,-2)&lt;Granger_Inventory[[#This Row],[min_res]],Granger_Inventory[[#This Row],[min_res]],ROUND(Granger_Inventory[[#This Row],[adj_res]]*Lookups!$I$45,-2))</f>
        <v>200600</v>
      </c>
      <c r="CB351">
        <f>Granger_Inventory[[#This Row],[final_det]]+Granger_Inventory[[#This Row],[final_res]]</f>
        <v>208200</v>
      </c>
      <c r="CC351">
        <f>Granger_Inventory[[#This Row],[final_land]]+Granger_Inventory[[#This Row],[final_imp]]+Granger_Inventory[[#This Row],[crop_value]]</f>
        <v>283600</v>
      </c>
      <c r="CE351" t="str">
        <f t="shared" si="5"/>
        <v>update valuation set market_land =75400, market_bldg=208200, market_total =283600, market_mdno =402, market_date ='9/10/2023' where link_id = (select link_id from parcel where parcel_year = '2024' and parcel_id = '21102113409');</v>
      </c>
    </row>
    <row r="352" spans="1:83" x14ac:dyDescent="0.25">
      <c r="A352">
        <v>21102113410</v>
      </c>
      <c r="B352">
        <v>1.1299999999999999</v>
      </c>
      <c r="C352">
        <v>49212</v>
      </c>
      <c r="D352" t="s">
        <v>137</v>
      </c>
      <c r="E352" t="s">
        <v>54</v>
      </c>
      <c r="F352" t="s">
        <v>54</v>
      </c>
      <c r="G352">
        <v>3</v>
      </c>
      <c r="H352" t="s">
        <v>55</v>
      </c>
      <c r="I352">
        <v>185300</v>
      </c>
      <c r="J352">
        <v>38300</v>
      </c>
      <c r="K352">
        <v>1.1299999999999999</v>
      </c>
      <c r="L352">
        <f>IF(Granger_Inventory[[#This Row],[parcel_acres]]-Granger_Inventory[[#This Row],[non_valued_acres]] =0,0,LN(Granger_Inventory[[#This Row],[parcel_acres]]-Granger_Inventory[[#This Row],[non_valued_acres]]))</f>
        <v>0.12221763272424911</v>
      </c>
      <c r="M352">
        <v>0</v>
      </c>
      <c r="N352">
        <v>0</v>
      </c>
      <c r="O352">
        <v>0</v>
      </c>
      <c r="P352">
        <v>47108.068500000001</v>
      </c>
      <c r="Q352">
        <v>122298</v>
      </c>
      <c r="R352">
        <f>(Granger_Inventory[[#This Row],[ln_acres]]*Granger_Inventory[[#This Row],[coeff]])+Granger_Inventory[[#This Row],[const]]</f>
        <v>128055.43661428177</v>
      </c>
      <c r="S352" t="s">
        <v>56</v>
      </c>
      <c r="T352">
        <v>1</v>
      </c>
      <c r="U352" t="s">
        <v>71</v>
      </c>
      <c r="V352" t="s">
        <v>77</v>
      </c>
      <c r="W352">
        <v>0</v>
      </c>
      <c r="X352">
        <v>0</v>
      </c>
      <c r="Y352">
        <v>47</v>
      </c>
      <c r="Z352">
        <v>58</v>
      </c>
      <c r="AA352">
        <v>60</v>
      </c>
      <c r="AB352">
        <v>2500</v>
      </c>
      <c r="AC352">
        <v>2240</v>
      </c>
      <c r="AD352">
        <v>2240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5</v>
      </c>
      <c r="AQ352">
        <v>1</v>
      </c>
      <c r="AR352">
        <v>0</v>
      </c>
      <c r="AS352" t="s">
        <v>59</v>
      </c>
      <c r="AT352">
        <v>1</v>
      </c>
      <c r="AU352" t="s">
        <v>76</v>
      </c>
      <c r="AV352" t="s">
        <v>61</v>
      </c>
      <c r="AW352">
        <v>0</v>
      </c>
      <c r="AX352">
        <v>3</v>
      </c>
      <c r="AY352">
        <v>0</v>
      </c>
      <c r="AZ352">
        <v>0</v>
      </c>
      <c r="BA352">
        <v>100</v>
      </c>
      <c r="BB352">
        <v>100</v>
      </c>
      <c r="BC352">
        <v>100</v>
      </c>
      <c r="BD352">
        <v>100</v>
      </c>
      <c r="BE352">
        <v>1</v>
      </c>
      <c r="BF352">
        <v>15000</v>
      </c>
      <c r="BG352">
        <v>1000</v>
      </c>
      <c r="BH352" s="8">
        <f>Granger_Inventory[[#This Row],[land_extract]]*Lookups!$B$3</f>
        <v>76286.567698575367</v>
      </c>
      <c r="BI352" s="8">
        <f>IF(Granger_Inventory[[#This Row],[bldg_style]]="",0,Lookups!$B$2)</f>
        <v>29703.559000000001</v>
      </c>
      <c r="BJ352" s="8">
        <f>_xlfn.IFNA(VLOOKUP(Granger_Inventory[[#This Row],[quality]],Lookups!$H$2:$J$14,3,FALSE),0)</f>
        <v>34195</v>
      </c>
      <c r="BK352" s="8">
        <f>_xlfn.IFNA(VLOOKUP(Granger_Inventory[[#This Row],[condition]],Lookups!$H$17:$J$24,3,FALSE),0)</f>
        <v>33736</v>
      </c>
      <c r="BL352" s="8">
        <f>Granger_Inventory[[#This Row],[Age]]*Lookups!$B$16</f>
        <v>-12025.203799999999</v>
      </c>
      <c r="BM352" s="8">
        <f>Granger_Inventory[[#This Row],[living_area]]*Lookups!$B$17</f>
        <v>150691.31615999999</v>
      </c>
      <c r="BN352" s="8">
        <f>(Granger_Inventory[[#This Row],[att_gar]]+Granger_Inventory[[#This Row],[blt_gar]])*Lookups!$B$18</f>
        <v>0</v>
      </c>
      <c r="BO352" s="8">
        <f>Granger_Inventory[[#This Row],[Patio]]*Lookups!$B$19</f>
        <v>0</v>
      </c>
      <c r="BP352" s="8">
        <f>SUM(Granger_Inventory[[#This Row],[Intercept]:[Patio_Value]])*Granger_Inventory[[#This Row],[res_pct]]</f>
        <v>236300.67135999998</v>
      </c>
      <c r="BQ352" s="8">
        <f>Granger_Inventory[[#This Row],[land_value]]</f>
        <v>76286.567698575367</v>
      </c>
      <c r="BR352" s="4">
        <f>_xlfn.IFNA(VLOOKUP(Granger_Inventory[[#This Row],[quality]],Lookups!$A$25:$C$35,3,FALSE),1)</f>
        <v>0.98258795897788032</v>
      </c>
      <c r="BS352" s="4">
        <f>_xlfn.IFNA(VLOOKUP(Granger_Inventory[[#This Row],[condition]],Lookups!$A$38:$C$45,3,FALSE),1)</f>
        <v>0.92294678898076177</v>
      </c>
      <c r="BT352" s="4">
        <f>IF(Granger_Inventory[[#This Row],[decade]]="",1,_xlfn.IFNA(VLOOKUP(Granger_Inventory[[#This Row],[decade]],Lookups!$G$28:$I$42,3,FALSE),1))</f>
        <v>0.86581421791274704</v>
      </c>
      <c r="BU352" s="4">
        <f>_xlfn.IFNA(VLOOKUP(Granger_Inventory[[#This Row],[living_area_range]],Lookups!$A$48:$C$57,3,FALSE),1)</f>
        <v>1.0000039906678986</v>
      </c>
      <c r="BV352" s="4">
        <f>AVERAGE(Granger_Inventory[[#This Row],[qual_adj]:[living_range_adj]])</f>
        <v>0.94283823913482179</v>
      </c>
      <c r="BW352" s="8">
        <f>(Granger_Inventory[[#This Row],[sum_land]]-IF(Granger_Inventory[[#This Row],[no_utilities]]=1,12000,0))/IF(Granger_Inventory[[#This Row],[unbuildable]]=1,2,1)</f>
        <v>76286.567698575367</v>
      </c>
      <c r="BX352" s="8">
        <f>Granger_Inventory[[#This Row],[pre_res]]*Granger_Inventory[[#This Row],[overall_adj]]</f>
        <v>222793.30889143859</v>
      </c>
      <c r="BY352">
        <f>IF(ROUND(Granger_Inventory[[#This Row],[adj_land]]*Lookups!$I$45,-2)&lt;Granger_Inventory[[#This Row],[min_land]],Granger_Inventory[[#This Row],[min_land]],ROUND(Granger_Inventory[[#This Row],[adj_land]]*Lookups!$I$45,-2))</f>
        <v>72500</v>
      </c>
      <c r="BZ352">
        <f>ROUND(Granger_Inventory[[#This Row],[detatched_value]]*Lookups!$I$45,-2)</f>
        <v>0</v>
      </c>
      <c r="CA352">
        <f>IF(ROUND(Granger_Inventory[[#This Row],[adj_res]]*Lookups!$I$45,-2)&lt;Granger_Inventory[[#This Row],[min_res]],Granger_Inventory[[#This Row],[min_res]],ROUND(Granger_Inventory[[#This Row],[adj_res]]*Lookups!$I$45,-2))</f>
        <v>211700</v>
      </c>
      <c r="CB352">
        <f>Granger_Inventory[[#This Row],[final_det]]+Granger_Inventory[[#This Row],[final_res]]</f>
        <v>211700</v>
      </c>
      <c r="CC352">
        <f>Granger_Inventory[[#This Row],[final_land]]+Granger_Inventory[[#This Row],[final_imp]]+Granger_Inventory[[#This Row],[crop_value]]</f>
        <v>284200</v>
      </c>
      <c r="CE352" t="str">
        <f t="shared" si="5"/>
        <v>update valuation set market_land =72500, market_bldg=211700, market_total =284200, market_mdno =402, market_date ='9/10/2023' where link_id = (select link_id from parcel where parcel_year = '2024' and parcel_id = '21102113410');</v>
      </c>
    </row>
    <row r="353" spans="1:83" x14ac:dyDescent="0.25">
      <c r="A353">
        <v>21102113411</v>
      </c>
      <c r="B353">
        <v>0.88</v>
      </c>
      <c r="C353">
        <v>38219</v>
      </c>
      <c r="D353" t="s">
        <v>137</v>
      </c>
      <c r="E353" t="s">
        <v>54</v>
      </c>
      <c r="F353" t="s">
        <v>54</v>
      </c>
      <c r="G353">
        <v>3</v>
      </c>
      <c r="H353" t="s">
        <v>55</v>
      </c>
      <c r="I353">
        <v>44000</v>
      </c>
      <c r="J353">
        <v>36800</v>
      </c>
      <c r="K353">
        <v>0.88</v>
      </c>
      <c r="L353">
        <f>IF(Granger_Inventory[[#This Row],[parcel_acres]]-Granger_Inventory[[#This Row],[non_valued_acres]] =0,0,LN(Granger_Inventory[[#This Row],[parcel_acres]]-Granger_Inventory[[#This Row],[non_valued_acres]]))</f>
        <v>-0.12783337150988489</v>
      </c>
      <c r="M353">
        <v>0</v>
      </c>
      <c r="N353">
        <v>0</v>
      </c>
      <c r="O353">
        <v>0</v>
      </c>
      <c r="P353">
        <v>47108.068500000001</v>
      </c>
      <c r="Q353">
        <v>122298</v>
      </c>
      <c r="R353">
        <f>(Granger_Inventory[[#This Row],[ln_acres]]*Granger_Inventory[[#This Row],[coeff]])+Granger_Inventory[[#This Row],[const]]</f>
        <v>116276.01677832639</v>
      </c>
      <c r="S353" t="s">
        <v>69</v>
      </c>
      <c r="T353">
        <v>1</v>
      </c>
      <c r="U353" t="s">
        <v>106</v>
      </c>
      <c r="V353" t="s">
        <v>77</v>
      </c>
      <c r="W353">
        <v>0</v>
      </c>
      <c r="X353">
        <v>0</v>
      </c>
      <c r="Y353">
        <v>50</v>
      </c>
      <c r="Z353">
        <v>73</v>
      </c>
      <c r="AA353">
        <v>80</v>
      </c>
      <c r="AB353">
        <v>500</v>
      </c>
      <c r="AC353">
        <v>441</v>
      </c>
      <c r="AD353">
        <v>441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5</v>
      </c>
      <c r="AQ353">
        <v>0</v>
      </c>
      <c r="AR353">
        <v>0</v>
      </c>
      <c r="AS353" t="s">
        <v>59</v>
      </c>
      <c r="AT353">
        <v>0</v>
      </c>
      <c r="AU353" t="s">
        <v>142</v>
      </c>
      <c r="AV353" t="s">
        <v>65</v>
      </c>
      <c r="AW353">
        <v>0</v>
      </c>
      <c r="AX353">
        <v>1</v>
      </c>
      <c r="AY353">
        <v>0</v>
      </c>
      <c r="AZ353">
        <v>9900</v>
      </c>
      <c r="BA353">
        <v>100</v>
      </c>
      <c r="BB353">
        <v>100</v>
      </c>
      <c r="BC353">
        <v>100</v>
      </c>
      <c r="BD353">
        <v>100</v>
      </c>
      <c r="BE353">
        <v>1</v>
      </c>
      <c r="BF353">
        <v>15000</v>
      </c>
      <c r="BG353">
        <v>1000</v>
      </c>
      <c r="BH353" s="8">
        <f>Granger_Inventory[[#This Row],[land_extract]]*Lookups!$B$3</f>
        <v>69269.20449616581</v>
      </c>
      <c r="BI353" s="8">
        <f>IF(Granger_Inventory[[#This Row],[bldg_style]]="",0,Lookups!$B$2)</f>
        <v>29703.559000000001</v>
      </c>
      <c r="BJ353" s="8">
        <f>_xlfn.IFNA(VLOOKUP(Granger_Inventory[[#This Row],[quality]],Lookups!$H$2:$J$14,3,FALSE),0)</f>
        <v>17985.540667792327</v>
      </c>
      <c r="BK353" s="8">
        <f>_xlfn.IFNA(VLOOKUP(Granger_Inventory[[#This Row],[condition]],Lookups!$H$17:$J$24,3,FALSE),0)</f>
        <v>33736</v>
      </c>
      <c r="BL353" s="8">
        <f>Granger_Inventory[[#This Row],[Age]]*Lookups!$B$16</f>
        <v>-15135.1703</v>
      </c>
      <c r="BM353" s="8">
        <f>Granger_Inventory[[#This Row],[living_area]]*Lookups!$B$17</f>
        <v>29667.352868999998</v>
      </c>
      <c r="BN353" s="8">
        <f>(Granger_Inventory[[#This Row],[att_gar]]+Granger_Inventory[[#This Row],[blt_gar]])*Lookups!$B$18</f>
        <v>0</v>
      </c>
      <c r="BO353" s="8">
        <f>Granger_Inventory[[#This Row],[Patio]]*Lookups!$B$19</f>
        <v>0</v>
      </c>
      <c r="BP353" s="8">
        <f>SUM(Granger_Inventory[[#This Row],[Intercept]:[Patio_Value]])*Granger_Inventory[[#This Row],[res_pct]]</f>
        <v>95957.282236792322</v>
      </c>
      <c r="BQ353" s="8">
        <f>Granger_Inventory[[#This Row],[land_value]]</f>
        <v>69269.20449616581</v>
      </c>
      <c r="BR353" s="4">
        <f>_xlfn.IFNA(VLOOKUP(Granger_Inventory[[#This Row],[quality]],Lookups!$A$25:$C$35,3,FALSE),1)</f>
        <v>0.77695375541795109</v>
      </c>
      <c r="BS353" s="4">
        <f>_xlfn.IFNA(VLOOKUP(Granger_Inventory[[#This Row],[condition]],Lookups!$A$38:$C$45,3,FALSE),1)</f>
        <v>0.92294678898076177</v>
      </c>
      <c r="BT353" s="4">
        <f>IF(Granger_Inventory[[#This Row],[decade]]="",1,_xlfn.IFNA(VLOOKUP(Granger_Inventory[[#This Row],[decade]],Lookups!$G$28:$I$42,3,FALSE),1))</f>
        <v>0.76006056002554967</v>
      </c>
      <c r="BU353" s="4">
        <f>_xlfn.IFNA(VLOOKUP(Granger_Inventory[[#This Row],[living_area_range]],Lookups!$A$48:$C$57,3,FALSE),1)</f>
        <v>0.81272404900450645</v>
      </c>
      <c r="BV353" s="4">
        <f>AVERAGE(Granger_Inventory[[#This Row],[qual_adj]:[living_range_adj]])</f>
        <v>0.81817128835719222</v>
      </c>
      <c r="BW353" s="8">
        <f>(Granger_Inventory[[#This Row],[sum_land]]-IF(Granger_Inventory[[#This Row],[no_utilities]]=1,12000,0))/IF(Granger_Inventory[[#This Row],[unbuildable]]=1,2,1)</f>
        <v>69269.20449616581</v>
      </c>
      <c r="BX353" s="8">
        <f>Granger_Inventory[[#This Row],[pre_res]]*Granger_Inventory[[#This Row],[overall_adj]]</f>
        <v>78509.493234931084</v>
      </c>
      <c r="BY353">
        <f>IF(ROUND(Granger_Inventory[[#This Row],[adj_land]]*Lookups!$I$45,-2)&lt;Granger_Inventory[[#This Row],[min_land]],Granger_Inventory[[#This Row],[min_land]],ROUND(Granger_Inventory[[#This Row],[adj_land]]*Lookups!$I$45,-2))</f>
        <v>65800</v>
      </c>
      <c r="BZ353">
        <f>ROUND(Granger_Inventory[[#This Row],[detatched_value]]*Lookups!$I$45,-2)</f>
        <v>9400</v>
      </c>
      <c r="CA353">
        <f>IF(ROUND(Granger_Inventory[[#This Row],[adj_res]]*Lookups!$I$45,-2)&lt;Granger_Inventory[[#This Row],[min_res]],Granger_Inventory[[#This Row],[min_res]],ROUND(Granger_Inventory[[#This Row],[adj_res]]*Lookups!$I$45,-2))</f>
        <v>74600</v>
      </c>
      <c r="CB353">
        <f>Granger_Inventory[[#This Row],[final_det]]+Granger_Inventory[[#This Row],[final_res]]</f>
        <v>84000</v>
      </c>
      <c r="CC353">
        <f>Granger_Inventory[[#This Row],[final_land]]+Granger_Inventory[[#This Row],[final_imp]]+Granger_Inventory[[#This Row],[crop_value]]</f>
        <v>149800</v>
      </c>
      <c r="CE353" t="str">
        <f t="shared" si="5"/>
        <v>update valuation set market_land =65800, market_bldg=84000, market_total =149800, market_mdno =402, market_date ='9/10/2023' where link_id = (select link_id from parcel where parcel_year = '2024' and parcel_id = '21102113411');</v>
      </c>
    </row>
    <row r="354" spans="1:83" x14ac:dyDescent="0.25">
      <c r="A354">
        <v>21102113412</v>
      </c>
      <c r="B354">
        <v>1.37</v>
      </c>
      <c r="C354">
        <v>59538</v>
      </c>
      <c r="D354" t="s">
        <v>137</v>
      </c>
      <c r="E354" t="s">
        <v>54</v>
      </c>
      <c r="F354" t="s">
        <v>54</v>
      </c>
      <c r="G354">
        <v>3</v>
      </c>
      <c r="H354" t="s">
        <v>55</v>
      </c>
      <c r="I354">
        <v>269100</v>
      </c>
      <c r="J354">
        <v>39500</v>
      </c>
      <c r="K354">
        <v>1.37</v>
      </c>
      <c r="L354">
        <f>IF(Granger_Inventory[[#This Row],[parcel_acres]]-Granger_Inventory[[#This Row],[non_valued_acres]] =0,0,LN(Granger_Inventory[[#This Row],[parcel_acres]]-Granger_Inventory[[#This Row],[non_valued_acres]]))</f>
        <v>0.3148107398400336</v>
      </c>
      <c r="M354">
        <v>0</v>
      </c>
      <c r="N354">
        <v>0</v>
      </c>
      <c r="O354">
        <v>0</v>
      </c>
      <c r="P354">
        <v>47108.068500000001</v>
      </c>
      <c r="Q354">
        <v>122298</v>
      </c>
      <c r="R354">
        <f>(Granger_Inventory[[#This Row],[ln_acres]]*Granger_Inventory[[#This Row],[coeff]])+Granger_Inventory[[#This Row],[const]]</f>
        <v>137128.12589691998</v>
      </c>
      <c r="S354" t="s">
        <v>56</v>
      </c>
      <c r="T354">
        <v>1</v>
      </c>
      <c r="U354" t="s">
        <v>64</v>
      </c>
      <c r="V354" t="s">
        <v>77</v>
      </c>
      <c r="W354">
        <v>0</v>
      </c>
      <c r="X354">
        <v>0</v>
      </c>
      <c r="Y354">
        <v>47</v>
      </c>
      <c r="Z354">
        <v>58</v>
      </c>
      <c r="AA354">
        <v>60</v>
      </c>
      <c r="AB354">
        <v>2500</v>
      </c>
      <c r="AC354">
        <v>2436</v>
      </c>
      <c r="AD354">
        <v>2436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434</v>
      </c>
      <c r="AN354">
        <v>0</v>
      </c>
      <c r="AO354">
        <v>0</v>
      </c>
      <c r="AP354">
        <v>8</v>
      </c>
      <c r="AQ354">
        <v>0</v>
      </c>
      <c r="AR354">
        <v>1</v>
      </c>
      <c r="AS354" t="s">
        <v>81</v>
      </c>
      <c r="AT354">
        <v>1</v>
      </c>
      <c r="AU354" t="s">
        <v>60</v>
      </c>
      <c r="AV354" t="s">
        <v>61</v>
      </c>
      <c r="AW354">
        <v>0</v>
      </c>
      <c r="AX354">
        <v>4</v>
      </c>
      <c r="AY354">
        <v>0</v>
      </c>
      <c r="AZ354">
        <v>35500</v>
      </c>
      <c r="BA354">
        <v>100</v>
      </c>
      <c r="BB354">
        <v>100</v>
      </c>
      <c r="BC354">
        <v>100</v>
      </c>
      <c r="BD354">
        <v>100</v>
      </c>
      <c r="BE354">
        <v>1</v>
      </c>
      <c r="BF354">
        <v>15000</v>
      </c>
      <c r="BG354">
        <v>1000</v>
      </c>
      <c r="BH354" s="8">
        <f>Granger_Inventory[[#This Row],[land_extract]]*Lookups!$B$3</f>
        <v>81691.448143072863</v>
      </c>
      <c r="BI354" s="8">
        <f>IF(Granger_Inventory[[#This Row],[bldg_style]]="",0,Lookups!$B$2)</f>
        <v>29703.559000000001</v>
      </c>
      <c r="BJ354" s="8">
        <f>_xlfn.IFNA(VLOOKUP(Granger_Inventory[[#This Row],[quality]],Lookups!$H$2:$J$14,3,FALSE),0)</f>
        <v>36568</v>
      </c>
      <c r="BK354" s="8">
        <f>_xlfn.IFNA(VLOOKUP(Granger_Inventory[[#This Row],[condition]],Lookups!$H$17:$J$24,3,FALSE),0)</f>
        <v>33736</v>
      </c>
      <c r="BL354" s="8">
        <f>Granger_Inventory[[#This Row],[Age]]*Lookups!$B$16</f>
        <v>-12025.203799999999</v>
      </c>
      <c r="BM354" s="8">
        <f>Granger_Inventory[[#This Row],[living_area]]*Lookups!$B$17</f>
        <v>163876.806324</v>
      </c>
      <c r="BN354" s="8">
        <f>(Granger_Inventory[[#This Row],[att_gar]]+Granger_Inventory[[#This Row],[blt_gar]])*Lookups!$B$18</f>
        <v>0</v>
      </c>
      <c r="BO354" s="8">
        <f>Granger_Inventory[[#This Row],[Patio]]*Lookups!$B$19</f>
        <v>23572.751663999999</v>
      </c>
      <c r="BP354" s="8">
        <f>SUM(Granger_Inventory[[#This Row],[Intercept]:[Patio_Value]])*Granger_Inventory[[#This Row],[res_pct]]</f>
        <v>275431.91318799998</v>
      </c>
      <c r="BQ354" s="8">
        <f>Granger_Inventory[[#This Row],[land_value]]</f>
        <v>81691.448143072863</v>
      </c>
      <c r="BR354" s="4">
        <f>_xlfn.IFNA(VLOOKUP(Granger_Inventory[[#This Row],[quality]],Lookups!$A$25:$C$35,3,FALSE),1)</f>
        <v>0.99049976351917957</v>
      </c>
      <c r="BS354" s="4">
        <f>_xlfn.IFNA(VLOOKUP(Granger_Inventory[[#This Row],[condition]],Lookups!$A$38:$C$45,3,FALSE),1)</f>
        <v>0.92294678898076177</v>
      </c>
      <c r="BT354" s="4">
        <f>IF(Granger_Inventory[[#This Row],[decade]]="",1,_xlfn.IFNA(VLOOKUP(Granger_Inventory[[#This Row],[decade]],Lookups!$G$28:$I$42,3,FALSE),1))</f>
        <v>0.86581421791274704</v>
      </c>
      <c r="BU354" s="4">
        <f>_xlfn.IFNA(VLOOKUP(Granger_Inventory[[#This Row],[living_area_range]],Lookups!$A$48:$C$57,3,FALSE),1)</f>
        <v>1.0000039906678986</v>
      </c>
      <c r="BV354" s="4">
        <f>AVERAGE(Granger_Inventory[[#This Row],[qual_adj]:[living_range_adj]])</f>
        <v>0.94481619027014663</v>
      </c>
      <c r="BW354" s="8">
        <f>(Granger_Inventory[[#This Row],[sum_land]]-IF(Granger_Inventory[[#This Row],[no_utilities]]=1,12000,0))/IF(Granger_Inventory[[#This Row],[unbuildable]]=1,2,1)</f>
        <v>81691.448143072863</v>
      </c>
      <c r="BX354" s="8">
        <f>Granger_Inventory[[#This Row],[pre_res]]*Granger_Inventory[[#This Row],[overall_adj]]</f>
        <v>260232.53089710389</v>
      </c>
      <c r="BY354">
        <f>IF(ROUND(Granger_Inventory[[#This Row],[adj_land]]*Lookups!$I$45,-2)&lt;Granger_Inventory[[#This Row],[min_land]],Granger_Inventory[[#This Row],[min_land]],ROUND(Granger_Inventory[[#This Row],[adj_land]]*Lookups!$I$45,-2))</f>
        <v>77600</v>
      </c>
      <c r="BZ354">
        <f>ROUND(Granger_Inventory[[#This Row],[detatched_value]]*Lookups!$I$45,-2)</f>
        <v>33700</v>
      </c>
      <c r="CA354">
        <f>IF(ROUND(Granger_Inventory[[#This Row],[adj_res]]*Lookups!$I$45,-2)&lt;Granger_Inventory[[#This Row],[min_res]],Granger_Inventory[[#This Row],[min_res]],ROUND(Granger_Inventory[[#This Row],[adj_res]]*Lookups!$I$45,-2))</f>
        <v>247200</v>
      </c>
      <c r="CB354">
        <f>Granger_Inventory[[#This Row],[final_det]]+Granger_Inventory[[#This Row],[final_res]]</f>
        <v>280900</v>
      </c>
      <c r="CC354">
        <f>Granger_Inventory[[#This Row],[final_land]]+Granger_Inventory[[#This Row],[final_imp]]+Granger_Inventory[[#This Row],[crop_value]]</f>
        <v>358500</v>
      </c>
      <c r="CE354" t="str">
        <f t="shared" si="5"/>
        <v>update valuation set market_land =77600, market_bldg=280900, market_total =358500, market_mdno =402, market_date ='9/10/2023' where link_id = (select link_id from parcel where parcel_year = '2024' and parcel_id = '21102113412');</v>
      </c>
    </row>
    <row r="355" spans="1:83" x14ac:dyDescent="0.25">
      <c r="A355">
        <v>21102113420</v>
      </c>
      <c r="B355">
        <v>0.14000000000000001</v>
      </c>
      <c r="C355">
        <v>6250</v>
      </c>
      <c r="D355" t="s">
        <v>137</v>
      </c>
      <c r="E355" t="s">
        <v>54</v>
      </c>
      <c r="F355" t="s">
        <v>54</v>
      </c>
      <c r="G355">
        <v>3</v>
      </c>
      <c r="H355" t="s">
        <v>55</v>
      </c>
      <c r="I355">
        <v>11200</v>
      </c>
      <c r="J355">
        <v>25900</v>
      </c>
      <c r="K355">
        <v>0.14000000000000001</v>
      </c>
      <c r="L35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55">
        <v>0</v>
      </c>
      <c r="N355">
        <v>0</v>
      </c>
      <c r="O355">
        <v>0</v>
      </c>
      <c r="P355">
        <v>47108.068500000001</v>
      </c>
      <c r="Q355">
        <v>122298</v>
      </c>
      <c r="R355">
        <f>(Granger_Inventory[[#This Row],[ln_acres]]*Granger_Inventory[[#This Row],[coeff]])+Granger_Inventory[[#This Row],[const]]</f>
        <v>29678.220883257934</v>
      </c>
      <c r="S355" t="s">
        <v>69</v>
      </c>
      <c r="T355">
        <v>1</v>
      </c>
      <c r="U355" t="s">
        <v>78</v>
      </c>
      <c r="V355" t="s">
        <v>79</v>
      </c>
      <c r="W355">
        <v>0</v>
      </c>
      <c r="X355">
        <v>0</v>
      </c>
      <c r="Y355">
        <v>55</v>
      </c>
      <c r="Z355">
        <v>98</v>
      </c>
      <c r="AA355">
        <v>100</v>
      </c>
      <c r="AB355">
        <v>1000</v>
      </c>
      <c r="AC355">
        <v>696</v>
      </c>
      <c r="AD355">
        <v>696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12</v>
      </c>
      <c r="AO355">
        <v>0</v>
      </c>
      <c r="AP355">
        <v>5</v>
      </c>
      <c r="AQ355">
        <v>0</v>
      </c>
      <c r="AR355">
        <v>1</v>
      </c>
      <c r="AS355" t="s">
        <v>59</v>
      </c>
      <c r="AT355">
        <v>1</v>
      </c>
      <c r="AU355" t="s">
        <v>76</v>
      </c>
      <c r="AV355" t="s">
        <v>65</v>
      </c>
      <c r="AW355">
        <v>0</v>
      </c>
      <c r="AX355">
        <v>1</v>
      </c>
      <c r="AY355">
        <v>0</v>
      </c>
      <c r="AZ355">
        <v>0</v>
      </c>
      <c r="BA355">
        <v>100</v>
      </c>
      <c r="BB355">
        <v>100</v>
      </c>
      <c r="BC355">
        <v>100</v>
      </c>
      <c r="BD355">
        <v>100</v>
      </c>
      <c r="BE355">
        <v>1</v>
      </c>
      <c r="BF355">
        <v>15000</v>
      </c>
      <c r="BG355">
        <v>1000</v>
      </c>
      <c r="BH355" s="8">
        <f>Granger_Inventory[[#This Row],[land_extract]]*Lookups!$B$3</f>
        <v>17680.230269359956</v>
      </c>
      <c r="BI355" s="8">
        <f>IF(Granger_Inventory[[#This Row],[bldg_style]]="",0,Lookups!$B$2)</f>
        <v>29703.559000000001</v>
      </c>
      <c r="BJ355" s="8">
        <f>_xlfn.IFNA(VLOOKUP(Granger_Inventory[[#This Row],[quality]],Lookups!$H$2:$J$14,3,FALSE),0)</f>
        <v>23737.786340274597</v>
      </c>
      <c r="BK355" s="8">
        <f>_xlfn.IFNA(VLOOKUP(Granger_Inventory[[#This Row],[condition]],Lookups!$H$17:$J$24,3,FALSE),0)</f>
        <v>86727</v>
      </c>
      <c r="BL355" s="8">
        <f>Granger_Inventory[[#This Row],[Age]]*Lookups!$B$16</f>
        <v>-20318.447799999998</v>
      </c>
      <c r="BM355" s="8">
        <f>Granger_Inventory[[#This Row],[living_area]]*Lookups!$B$17</f>
        <v>46821.944664000002</v>
      </c>
      <c r="BN355" s="8">
        <f>(Granger_Inventory[[#This Row],[att_gar]]+Granger_Inventory[[#This Row],[blt_gar]])*Lookups!$B$18</f>
        <v>0</v>
      </c>
      <c r="BO355" s="8">
        <f>Granger_Inventory[[#This Row],[Patio]]*Lookups!$B$19</f>
        <v>0</v>
      </c>
      <c r="BP355" s="8">
        <f>SUM(Granger_Inventory[[#This Row],[Intercept]:[Patio_Value]])*Granger_Inventory[[#This Row],[res_pct]]</f>
        <v>166671.84220427461</v>
      </c>
      <c r="BQ355" s="8">
        <f>Granger_Inventory[[#This Row],[land_value]]</f>
        <v>17680.230269359956</v>
      </c>
      <c r="BR355" s="4">
        <f>_xlfn.IFNA(VLOOKUP(Granger_Inventory[[#This Row],[quality]],Lookups!$A$25:$C$35,3,FALSE),1)</f>
        <v>0.77695375541795109</v>
      </c>
      <c r="BS355" s="4">
        <f>_xlfn.IFNA(VLOOKUP(Granger_Inventory[[#This Row],[condition]],Lookups!$A$38:$C$45,3,FALSE),1)</f>
        <v>0.85322907131620684</v>
      </c>
      <c r="BT355" s="4">
        <f>IF(Granger_Inventory[[#This Row],[decade]]="",1,_xlfn.IFNA(VLOOKUP(Granger_Inventory[[#This Row],[decade]],Lookups!$G$28:$I$42,3,FALSE),1))</f>
        <v>0.879441629375324</v>
      </c>
      <c r="BU355" s="4">
        <f>_xlfn.IFNA(VLOOKUP(Granger_Inventory[[#This Row],[living_area_range]],Lookups!$A$48:$C$57,3,FALSE),1)</f>
        <v>0.81272404900450645</v>
      </c>
      <c r="BV355" s="4">
        <f>AVERAGE(Granger_Inventory[[#This Row],[qual_adj]:[living_range_adj]])</f>
        <v>0.83058712627849718</v>
      </c>
      <c r="BW355" s="8">
        <f>(Granger_Inventory[[#This Row],[sum_land]]-IF(Granger_Inventory[[#This Row],[no_utilities]]=1,12000,0))/IF(Granger_Inventory[[#This Row],[unbuildable]]=1,2,1)</f>
        <v>17680.230269359956</v>
      </c>
      <c r="BX355" s="8">
        <f>Granger_Inventory[[#This Row],[pre_res]]*Granger_Inventory[[#This Row],[overall_adj]]</f>
        <v>138435.4864479916</v>
      </c>
      <c r="BY35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55">
        <f>ROUND(Granger_Inventory[[#This Row],[detatched_value]]*Lookups!$I$45,-2)</f>
        <v>0</v>
      </c>
      <c r="CA355">
        <f>IF(ROUND(Granger_Inventory[[#This Row],[adj_res]]*Lookups!$I$45,-2)&lt;Granger_Inventory[[#This Row],[min_res]],Granger_Inventory[[#This Row],[min_res]],ROUND(Granger_Inventory[[#This Row],[adj_res]]*Lookups!$I$45,-2))</f>
        <v>131500</v>
      </c>
      <c r="CB355">
        <f>Granger_Inventory[[#This Row],[final_det]]+Granger_Inventory[[#This Row],[final_res]]</f>
        <v>131500</v>
      </c>
      <c r="CC355">
        <f>Granger_Inventory[[#This Row],[final_land]]+Granger_Inventory[[#This Row],[final_imp]]+Granger_Inventory[[#This Row],[crop_value]]</f>
        <v>148300</v>
      </c>
      <c r="CE355" t="str">
        <f t="shared" si="5"/>
        <v>update valuation set market_land =16800, market_bldg=131500, market_total =148300, market_mdno =402, market_date ='9/10/2023' where link_id = (select link_id from parcel where parcel_year = '2024' and parcel_id = '21102113420');</v>
      </c>
    </row>
    <row r="356" spans="1:83" x14ac:dyDescent="0.25">
      <c r="A356">
        <v>21102113422</v>
      </c>
      <c r="B356">
        <v>0.28999999999999998</v>
      </c>
      <c r="C356">
        <v>12500</v>
      </c>
      <c r="D356" t="s">
        <v>137</v>
      </c>
      <c r="E356" t="s">
        <v>54</v>
      </c>
      <c r="F356" t="s">
        <v>54</v>
      </c>
      <c r="G356">
        <v>3</v>
      </c>
      <c r="H356" t="s">
        <v>55</v>
      </c>
      <c r="I356">
        <v>94200</v>
      </c>
      <c r="J356">
        <v>30200</v>
      </c>
      <c r="K356">
        <v>0.28999999999999998</v>
      </c>
      <c r="L356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356">
        <v>0</v>
      </c>
      <c r="N356">
        <v>0</v>
      </c>
      <c r="O356">
        <v>0</v>
      </c>
      <c r="P356">
        <v>47108.068500000001</v>
      </c>
      <c r="Q356">
        <v>122298</v>
      </c>
      <c r="R356">
        <f>(Granger_Inventory[[#This Row],[ln_acres]]*Granger_Inventory[[#This Row],[coeff]])+Granger_Inventory[[#This Row],[const]]</f>
        <v>63984.130043082419</v>
      </c>
      <c r="S356" t="s">
        <v>69</v>
      </c>
      <c r="T356">
        <v>1</v>
      </c>
      <c r="U356" t="s">
        <v>71</v>
      </c>
      <c r="V356" t="s">
        <v>77</v>
      </c>
      <c r="W356">
        <v>0</v>
      </c>
      <c r="X356">
        <v>0</v>
      </c>
      <c r="Y356">
        <v>33</v>
      </c>
      <c r="Z356">
        <v>33</v>
      </c>
      <c r="AA356">
        <v>40</v>
      </c>
      <c r="AB356">
        <v>1500</v>
      </c>
      <c r="AC356">
        <v>1040</v>
      </c>
      <c r="AD356">
        <v>1040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84</v>
      </c>
      <c r="AO356">
        <v>36</v>
      </c>
      <c r="AP356">
        <v>5</v>
      </c>
      <c r="AQ356">
        <v>0</v>
      </c>
      <c r="AR356">
        <v>0</v>
      </c>
      <c r="AS356" t="s">
        <v>59</v>
      </c>
      <c r="AT356">
        <v>1</v>
      </c>
      <c r="AU356" t="s">
        <v>76</v>
      </c>
      <c r="AV356" t="s">
        <v>65</v>
      </c>
      <c r="AW356">
        <v>0</v>
      </c>
      <c r="AX356">
        <v>2</v>
      </c>
      <c r="AY356">
        <v>0</v>
      </c>
      <c r="AZ356">
        <v>1000</v>
      </c>
      <c r="BA356">
        <v>100</v>
      </c>
      <c r="BB356">
        <v>100</v>
      </c>
      <c r="BC356">
        <v>100</v>
      </c>
      <c r="BD356">
        <v>100</v>
      </c>
      <c r="BE356">
        <v>1</v>
      </c>
      <c r="BF356">
        <v>15000</v>
      </c>
      <c r="BG356">
        <v>1000</v>
      </c>
      <c r="BH356" s="8">
        <f>Granger_Inventory[[#This Row],[land_extract]]*Lookups!$B$3</f>
        <v>38117.316977869523</v>
      </c>
      <c r="BI356" s="8">
        <f>IF(Granger_Inventory[[#This Row],[bldg_style]]="",0,Lookups!$B$2)</f>
        <v>29703.559000000001</v>
      </c>
      <c r="BJ356" s="8">
        <f>_xlfn.IFNA(VLOOKUP(Granger_Inventory[[#This Row],[quality]],Lookups!$H$2:$J$14,3,FALSE),0)</f>
        <v>34195</v>
      </c>
      <c r="BK356" s="8">
        <f>_xlfn.IFNA(VLOOKUP(Granger_Inventory[[#This Row],[condition]],Lookups!$H$17:$J$24,3,FALSE),0)</f>
        <v>33736</v>
      </c>
      <c r="BL356" s="8">
        <f>Granger_Inventory[[#This Row],[Age]]*Lookups!$B$16</f>
        <v>-6841.9263000000001</v>
      </c>
      <c r="BM356" s="8">
        <f>Granger_Inventory[[#This Row],[living_area]]*Lookups!$B$17</f>
        <v>69963.825360000003</v>
      </c>
      <c r="BN356" s="8">
        <f>(Granger_Inventory[[#This Row],[att_gar]]+Granger_Inventory[[#This Row],[blt_gar]])*Lookups!$B$18</f>
        <v>0</v>
      </c>
      <c r="BO356" s="8">
        <f>Granger_Inventory[[#This Row],[Patio]]*Lookups!$B$19</f>
        <v>0</v>
      </c>
      <c r="BP356" s="8">
        <f>SUM(Granger_Inventory[[#This Row],[Intercept]:[Patio_Value]])*Granger_Inventory[[#This Row],[res_pct]]</f>
        <v>160756.45806</v>
      </c>
      <c r="BQ356" s="8">
        <f>Granger_Inventory[[#This Row],[land_value]]</f>
        <v>38117.316977869523</v>
      </c>
      <c r="BR356" s="4">
        <f>_xlfn.IFNA(VLOOKUP(Granger_Inventory[[#This Row],[quality]],Lookups!$A$25:$C$35,3,FALSE),1)</f>
        <v>0.98258795897788032</v>
      </c>
      <c r="BS356" s="4">
        <f>_xlfn.IFNA(VLOOKUP(Granger_Inventory[[#This Row],[condition]],Lookups!$A$38:$C$45,3,FALSE),1)</f>
        <v>0.92294678898076177</v>
      </c>
      <c r="BT356" s="4">
        <f>IF(Granger_Inventory[[#This Row],[decade]]="",1,_xlfn.IFNA(VLOOKUP(Granger_Inventory[[#This Row],[decade]],Lookups!$G$28:$I$42,3,FALSE),1))</f>
        <v>0.98127609555109363</v>
      </c>
      <c r="BU356" s="4">
        <f>_xlfn.IFNA(VLOOKUP(Granger_Inventory[[#This Row],[living_area_range]],Lookups!$A$48:$C$57,3,FALSE),1)</f>
        <v>0.97960506760539345</v>
      </c>
      <c r="BV356" s="4">
        <f>AVERAGE(Granger_Inventory[[#This Row],[qual_adj]:[living_range_adj]])</f>
        <v>0.96660397777878226</v>
      </c>
      <c r="BW356" s="8">
        <f>(Granger_Inventory[[#This Row],[sum_land]]-IF(Granger_Inventory[[#This Row],[no_utilities]]=1,12000,0))/IF(Granger_Inventory[[#This Row],[unbuildable]]=1,2,1)</f>
        <v>38117.316977869523</v>
      </c>
      <c r="BX356" s="8">
        <f>Granger_Inventory[[#This Row],[pre_res]]*Granger_Inventory[[#This Row],[overall_adj]]</f>
        <v>155387.83181442399</v>
      </c>
      <c r="BY356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356">
        <f>ROUND(Granger_Inventory[[#This Row],[detatched_value]]*Lookups!$I$45,-2)</f>
        <v>1000</v>
      </c>
      <c r="CA356">
        <f>IF(ROUND(Granger_Inventory[[#This Row],[adj_res]]*Lookups!$I$45,-2)&lt;Granger_Inventory[[#This Row],[min_res]],Granger_Inventory[[#This Row],[min_res]],ROUND(Granger_Inventory[[#This Row],[adj_res]]*Lookups!$I$45,-2))</f>
        <v>147600</v>
      </c>
      <c r="CB356">
        <f>Granger_Inventory[[#This Row],[final_det]]+Granger_Inventory[[#This Row],[final_res]]</f>
        <v>148600</v>
      </c>
      <c r="CC356">
        <f>Granger_Inventory[[#This Row],[final_land]]+Granger_Inventory[[#This Row],[final_imp]]+Granger_Inventory[[#This Row],[crop_value]]</f>
        <v>184800</v>
      </c>
      <c r="CE356" t="str">
        <f t="shared" si="5"/>
        <v>update valuation set market_land =36200, market_bldg=148600, market_total =184800, market_mdno =402, market_date ='9/10/2023' where link_id = (select link_id from parcel where parcel_year = '2024' and parcel_id = '21102113422');</v>
      </c>
    </row>
    <row r="357" spans="1:83" x14ac:dyDescent="0.25">
      <c r="A357">
        <v>21102113424</v>
      </c>
      <c r="B357">
        <v>0.24</v>
      </c>
      <c r="C357">
        <v>10239</v>
      </c>
      <c r="D357" t="s">
        <v>137</v>
      </c>
      <c r="E357" t="s">
        <v>54</v>
      </c>
      <c r="F357" t="s">
        <v>54</v>
      </c>
      <c r="G357">
        <v>3</v>
      </c>
      <c r="H357" t="s">
        <v>55</v>
      </c>
      <c r="I357">
        <v>91000</v>
      </c>
      <c r="J357">
        <v>29100</v>
      </c>
      <c r="K357">
        <v>0.24</v>
      </c>
      <c r="L357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357">
        <v>0</v>
      </c>
      <c r="N357">
        <v>0</v>
      </c>
      <c r="O357">
        <v>0</v>
      </c>
      <c r="P357">
        <v>47108.068500000001</v>
      </c>
      <c r="Q357">
        <v>122298</v>
      </c>
      <c r="R357">
        <f>(Granger_Inventory[[#This Row],[ln_acres]]*Granger_Inventory[[#This Row],[coeff]])+Granger_Inventory[[#This Row],[const]]</f>
        <v>55069.304961033646</v>
      </c>
      <c r="S357" t="s">
        <v>69</v>
      </c>
      <c r="T357">
        <v>1</v>
      </c>
      <c r="U357" t="s">
        <v>78</v>
      </c>
      <c r="V357" t="s">
        <v>79</v>
      </c>
      <c r="W357">
        <v>0</v>
      </c>
      <c r="X357">
        <v>0</v>
      </c>
      <c r="Y357">
        <v>51</v>
      </c>
      <c r="Z357">
        <v>78</v>
      </c>
      <c r="AA357">
        <v>80</v>
      </c>
      <c r="AB357">
        <v>1500</v>
      </c>
      <c r="AC357">
        <v>1040</v>
      </c>
      <c r="AD357">
        <v>1040</v>
      </c>
      <c r="AE357">
        <v>0</v>
      </c>
      <c r="AF357">
        <v>0</v>
      </c>
      <c r="AG357">
        <v>0</v>
      </c>
      <c r="AH357">
        <v>0</v>
      </c>
      <c r="AI357">
        <v>240</v>
      </c>
      <c r="AJ357">
        <v>0</v>
      </c>
      <c r="AK357">
        <v>0</v>
      </c>
      <c r="AL357">
        <v>0</v>
      </c>
      <c r="AM357">
        <v>364</v>
      </c>
      <c r="AN357">
        <v>112</v>
      </c>
      <c r="AO357">
        <v>0</v>
      </c>
      <c r="AP357">
        <v>5</v>
      </c>
      <c r="AQ357">
        <v>0</v>
      </c>
      <c r="AR357">
        <v>0</v>
      </c>
      <c r="AS357" t="s">
        <v>59</v>
      </c>
      <c r="AT357">
        <v>1</v>
      </c>
      <c r="AU357" t="s">
        <v>76</v>
      </c>
      <c r="AV357" t="s">
        <v>65</v>
      </c>
      <c r="AW357">
        <v>0</v>
      </c>
      <c r="AX357">
        <v>3</v>
      </c>
      <c r="AY357">
        <v>0</v>
      </c>
      <c r="AZ357">
        <v>0</v>
      </c>
      <c r="BA357">
        <v>100</v>
      </c>
      <c r="BB357">
        <v>100</v>
      </c>
      <c r="BC357">
        <v>100</v>
      </c>
      <c r="BD357">
        <v>100</v>
      </c>
      <c r="BE357">
        <v>1</v>
      </c>
      <c r="BF357">
        <v>15000</v>
      </c>
      <c r="BG357">
        <v>1000</v>
      </c>
      <c r="BH357" s="8">
        <f>Granger_Inventory[[#This Row],[land_extract]]*Lookups!$B$3</f>
        <v>32806.481099880541</v>
      </c>
      <c r="BI357" s="8">
        <f>IF(Granger_Inventory[[#This Row],[bldg_style]]="",0,Lookups!$B$2)</f>
        <v>29703.559000000001</v>
      </c>
      <c r="BJ357" s="8">
        <f>_xlfn.IFNA(VLOOKUP(Granger_Inventory[[#This Row],[quality]],Lookups!$H$2:$J$14,3,FALSE),0)</f>
        <v>23737.786340274597</v>
      </c>
      <c r="BK357" s="8">
        <f>_xlfn.IFNA(VLOOKUP(Granger_Inventory[[#This Row],[condition]],Lookups!$H$17:$J$24,3,FALSE),0)</f>
        <v>86727</v>
      </c>
      <c r="BL357" s="8">
        <f>Granger_Inventory[[#This Row],[Age]]*Lookups!$B$16</f>
        <v>-16171.825799999999</v>
      </c>
      <c r="BM357" s="8">
        <f>Granger_Inventory[[#This Row],[living_area]]*Lookups!$B$17</f>
        <v>69963.825360000003</v>
      </c>
      <c r="BN357" s="8">
        <f>(Granger_Inventory[[#This Row],[att_gar]]+Granger_Inventory[[#This Row],[blt_gar]])*Lookups!$B$18</f>
        <v>11627.42064</v>
      </c>
      <c r="BO357" s="8">
        <f>Granger_Inventory[[#This Row],[Patio]]*Lookups!$B$19</f>
        <v>19770.694943999999</v>
      </c>
      <c r="BP357" s="8">
        <f>SUM(Granger_Inventory[[#This Row],[Intercept]:[Patio_Value]])*Granger_Inventory[[#This Row],[res_pct]]</f>
        <v>225358.46048427458</v>
      </c>
      <c r="BQ357" s="8">
        <f>Granger_Inventory[[#This Row],[land_value]]</f>
        <v>32806.481099880541</v>
      </c>
      <c r="BR357" s="4">
        <f>_xlfn.IFNA(VLOOKUP(Granger_Inventory[[#This Row],[quality]],Lookups!$A$25:$C$35,3,FALSE),1)</f>
        <v>0.77695375541795109</v>
      </c>
      <c r="BS357" s="4">
        <f>_xlfn.IFNA(VLOOKUP(Granger_Inventory[[#This Row],[condition]],Lookups!$A$38:$C$45,3,FALSE),1)</f>
        <v>0.85322907131620684</v>
      </c>
      <c r="BT357" s="4">
        <f>IF(Granger_Inventory[[#This Row],[decade]]="",1,_xlfn.IFNA(VLOOKUP(Granger_Inventory[[#This Row],[decade]],Lookups!$G$28:$I$42,3,FALSE),1))</f>
        <v>0.76006056002554967</v>
      </c>
      <c r="BU357" s="4">
        <f>_xlfn.IFNA(VLOOKUP(Granger_Inventory[[#This Row],[living_area_range]],Lookups!$A$48:$C$57,3,FALSE),1)</f>
        <v>0.97960506760539345</v>
      </c>
      <c r="BV357" s="4">
        <f>AVERAGE(Granger_Inventory[[#This Row],[qual_adj]:[living_range_adj]])</f>
        <v>0.84246211359127532</v>
      </c>
      <c r="BW357" s="8">
        <f>(Granger_Inventory[[#This Row],[sum_land]]-IF(Granger_Inventory[[#This Row],[no_utilities]]=1,12000,0))/IF(Granger_Inventory[[#This Row],[unbuildable]]=1,2,1)</f>
        <v>32806.481099880541</v>
      </c>
      <c r="BX357" s="8">
        <f>Granger_Inventory[[#This Row],[pre_res]]*Granger_Inventory[[#This Row],[overall_adj]]</f>
        <v>189855.96493525786</v>
      </c>
      <c r="BY357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357">
        <f>ROUND(Granger_Inventory[[#This Row],[detatched_value]]*Lookups!$I$45,-2)</f>
        <v>0</v>
      </c>
      <c r="CA357">
        <f>IF(ROUND(Granger_Inventory[[#This Row],[adj_res]]*Lookups!$I$45,-2)&lt;Granger_Inventory[[#This Row],[min_res]],Granger_Inventory[[#This Row],[min_res]],ROUND(Granger_Inventory[[#This Row],[adj_res]]*Lookups!$I$45,-2))</f>
        <v>180400</v>
      </c>
      <c r="CB357">
        <f>Granger_Inventory[[#This Row],[final_det]]+Granger_Inventory[[#This Row],[final_res]]</f>
        <v>180400</v>
      </c>
      <c r="CC357">
        <f>Granger_Inventory[[#This Row],[final_land]]+Granger_Inventory[[#This Row],[final_imp]]+Granger_Inventory[[#This Row],[crop_value]]</f>
        <v>211600</v>
      </c>
      <c r="CE357" t="str">
        <f t="shared" si="5"/>
        <v>update valuation set market_land =31200, market_bldg=180400, market_total =211600, market_mdno =402, market_date ='9/10/2023' where link_id = (select link_id from parcel where parcel_year = '2024' and parcel_id = '21102113424');</v>
      </c>
    </row>
    <row r="358" spans="1:83" x14ac:dyDescent="0.25">
      <c r="A358">
        <v>21102113431</v>
      </c>
      <c r="B358">
        <v>0.2</v>
      </c>
      <c r="C358">
        <v>8749</v>
      </c>
      <c r="D358" t="s">
        <v>137</v>
      </c>
      <c r="E358" t="s">
        <v>54</v>
      </c>
      <c r="F358" t="s">
        <v>54</v>
      </c>
      <c r="G358">
        <v>3</v>
      </c>
      <c r="H358" t="s">
        <v>55</v>
      </c>
      <c r="I358">
        <v>194500</v>
      </c>
      <c r="J358">
        <v>28000</v>
      </c>
      <c r="K358">
        <v>0.2</v>
      </c>
      <c r="L358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358">
        <v>0</v>
      </c>
      <c r="N358">
        <v>0</v>
      </c>
      <c r="O358">
        <v>0</v>
      </c>
      <c r="P358">
        <v>47108.068500000001</v>
      </c>
      <c r="Q358">
        <v>122298</v>
      </c>
      <c r="R358">
        <f>(Granger_Inventory[[#This Row],[ln_acres]]*Granger_Inventory[[#This Row],[coeff]])+Granger_Inventory[[#This Row],[const]]</f>
        <v>46480.488574557399</v>
      </c>
      <c r="S358" t="s">
        <v>62</v>
      </c>
      <c r="T358">
        <v>2</v>
      </c>
      <c r="U358" t="s">
        <v>64</v>
      </c>
      <c r="V358" t="s">
        <v>77</v>
      </c>
      <c r="W358">
        <v>0</v>
      </c>
      <c r="X358">
        <v>0</v>
      </c>
      <c r="Y358">
        <v>49</v>
      </c>
      <c r="Z358">
        <v>68</v>
      </c>
      <c r="AA358">
        <v>70</v>
      </c>
      <c r="AB358">
        <v>1500</v>
      </c>
      <c r="AC358">
        <v>1350</v>
      </c>
      <c r="AD358">
        <v>1070</v>
      </c>
      <c r="AE358">
        <v>280</v>
      </c>
      <c r="AF358">
        <v>0</v>
      </c>
      <c r="AG358">
        <v>0</v>
      </c>
      <c r="AH358">
        <v>1070</v>
      </c>
      <c r="AI358">
        <v>260</v>
      </c>
      <c r="AJ358">
        <v>0</v>
      </c>
      <c r="AK358">
        <v>0</v>
      </c>
      <c r="AL358">
        <v>0</v>
      </c>
      <c r="AM358">
        <v>0</v>
      </c>
      <c r="AN358">
        <v>205</v>
      </c>
      <c r="AO358">
        <v>0</v>
      </c>
      <c r="AP358">
        <v>8</v>
      </c>
      <c r="AQ358">
        <v>0</v>
      </c>
      <c r="AR358">
        <v>1</v>
      </c>
      <c r="AS358" t="s">
        <v>59</v>
      </c>
      <c r="AT358">
        <v>1</v>
      </c>
      <c r="AU358" t="s">
        <v>76</v>
      </c>
      <c r="AV358" t="s">
        <v>65</v>
      </c>
      <c r="AW358">
        <v>0</v>
      </c>
      <c r="AX358">
        <v>4</v>
      </c>
      <c r="AY358">
        <v>0</v>
      </c>
      <c r="AZ358">
        <v>0</v>
      </c>
      <c r="BA358">
        <v>100</v>
      </c>
      <c r="BB358">
        <v>100</v>
      </c>
      <c r="BC358">
        <v>100</v>
      </c>
      <c r="BD358">
        <v>100</v>
      </c>
      <c r="BE358">
        <v>1</v>
      </c>
      <c r="BF358">
        <v>15000</v>
      </c>
      <c r="BG358">
        <v>1000</v>
      </c>
      <c r="BH358" s="8">
        <f>Granger_Inventory[[#This Row],[land_extract]]*Lookups!$B$3</f>
        <v>27689.858642911939</v>
      </c>
      <c r="BI358" s="8">
        <f>IF(Granger_Inventory[[#This Row],[bldg_style]]="",0,Lookups!$B$2)</f>
        <v>29703.559000000001</v>
      </c>
      <c r="BJ358" s="8">
        <f>_xlfn.IFNA(VLOOKUP(Granger_Inventory[[#This Row],[quality]],Lookups!$H$2:$J$14,3,FALSE),0)</f>
        <v>36568</v>
      </c>
      <c r="BK358" s="8">
        <f>_xlfn.IFNA(VLOOKUP(Granger_Inventory[[#This Row],[condition]],Lookups!$H$17:$J$24,3,FALSE),0)</f>
        <v>33736</v>
      </c>
      <c r="BL358" s="8">
        <f>Granger_Inventory[[#This Row],[Age]]*Lookups!$B$16</f>
        <v>-14098.514799999999</v>
      </c>
      <c r="BM358" s="8">
        <f>Granger_Inventory[[#This Row],[living_area]]*Lookups!$B$17</f>
        <v>90818.427150000003</v>
      </c>
      <c r="BN358" s="8">
        <f>(Granger_Inventory[[#This Row],[att_gar]]+Granger_Inventory[[#This Row],[blt_gar]])*Lookups!$B$18</f>
        <v>12596.372360000001</v>
      </c>
      <c r="BO358" s="8">
        <f>Granger_Inventory[[#This Row],[Patio]]*Lookups!$B$19</f>
        <v>0</v>
      </c>
      <c r="BP358" s="8">
        <f>SUM(Granger_Inventory[[#This Row],[Intercept]:[Patio_Value]])*Granger_Inventory[[#This Row],[res_pct]]</f>
        <v>189323.84371000002</v>
      </c>
      <c r="BQ358" s="8">
        <f>Granger_Inventory[[#This Row],[land_value]]</f>
        <v>27689.858642911939</v>
      </c>
      <c r="BR358" s="4">
        <f>_xlfn.IFNA(VLOOKUP(Granger_Inventory[[#This Row],[quality]],Lookups!$A$25:$C$35,3,FALSE),1)</f>
        <v>0.99049976351917957</v>
      </c>
      <c r="BS358" s="4">
        <f>_xlfn.IFNA(VLOOKUP(Granger_Inventory[[#This Row],[condition]],Lookups!$A$38:$C$45,3,FALSE),1)</f>
        <v>0.92294678898076177</v>
      </c>
      <c r="BT358" s="4">
        <f>IF(Granger_Inventory[[#This Row],[decade]]="",1,_xlfn.IFNA(VLOOKUP(Granger_Inventory[[#This Row],[decade]],Lookups!$G$28:$I$42,3,FALSE),1))</f>
        <v>1.0270382440255921</v>
      </c>
      <c r="BU358" s="4">
        <f>_xlfn.IFNA(VLOOKUP(Granger_Inventory[[#This Row],[living_area_range]],Lookups!$A$48:$C$57,3,FALSE),1)</f>
        <v>0.97960506760539345</v>
      </c>
      <c r="BV358" s="4">
        <f>AVERAGE(Granger_Inventory[[#This Row],[qual_adj]:[living_range_adj]])</f>
        <v>0.98002246603273169</v>
      </c>
      <c r="BW358" s="8">
        <f>(Granger_Inventory[[#This Row],[sum_land]]-IF(Granger_Inventory[[#This Row],[no_utilities]]=1,12000,0))/IF(Granger_Inventory[[#This Row],[unbuildable]]=1,2,1)</f>
        <v>27689.858642911939</v>
      </c>
      <c r="BX358" s="8">
        <f>Granger_Inventory[[#This Row],[pre_res]]*Granger_Inventory[[#This Row],[overall_adj]]</f>
        <v>185541.6201914697</v>
      </c>
      <c r="BY358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358">
        <f>ROUND(Granger_Inventory[[#This Row],[detatched_value]]*Lookups!$I$45,-2)</f>
        <v>0</v>
      </c>
      <c r="CA358">
        <f>IF(ROUND(Granger_Inventory[[#This Row],[adj_res]]*Lookups!$I$45,-2)&lt;Granger_Inventory[[#This Row],[min_res]],Granger_Inventory[[#This Row],[min_res]],ROUND(Granger_Inventory[[#This Row],[adj_res]]*Lookups!$I$45,-2))</f>
        <v>176300</v>
      </c>
      <c r="CB358">
        <f>Granger_Inventory[[#This Row],[final_det]]+Granger_Inventory[[#This Row],[final_res]]</f>
        <v>176300</v>
      </c>
      <c r="CC358">
        <f>Granger_Inventory[[#This Row],[final_land]]+Granger_Inventory[[#This Row],[final_imp]]+Granger_Inventory[[#This Row],[crop_value]]</f>
        <v>202600</v>
      </c>
      <c r="CE358" t="str">
        <f t="shared" si="5"/>
        <v>update valuation set market_land =26300, market_bldg=176300, market_total =202600, market_mdno =402, market_date ='9/10/2023' where link_id = (select link_id from parcel where parcel_year = '2024' and parcel_id = '21102113431');</v>
      </c>
    </row>
    <row r="359" spans="1:83" x14ac:dyDescent="0.25">
      <c r="A359">
        <v>21102113432</v>
      </c>
      <c r="B359">
        <v>0.19</v>
      </c>
      <c r="C359">
        <v>8124</v>
      </c>
      <c r="D359" t="s">
        <v>137</v>
      </c>
      <c r="E359" t="s">
        <v>54</v>
      </c>
      <c r="F359" t="s">
        <v>54</v>
      </c>
      <c r="G359">
        <v>3</v>
      </c>
      <c r="H359" t="s">
        <v>55</v>
      </c>
      <c r="I359">
        <v>188400</v>
      </c>
      <c r="J359">
        <v>27700</v>
      </c>
      <c r="K359">
        <v>0.19</v>
      </c>
      <c r="L359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359">
        <v>0</v>
      </c>
      <c r="N359">
        <v>0</v>
      </c>
      <c r="O359">
        <v>0</v>
      </c>
      <c r="P359">
        <v>47108.068500000001</v>
      </c>
      <c r="Q359">
        <v>122298</v>
      </c>
      <c r="R359">
        <f>(Granger_Inventory[[#This Row],[ln_acres]]*Granger_Inventory[[#This Row],[coeff]])+Granger_Inventory[[#This Row],[const]]</f>
        <v>44064.160548957996</v>
      </c>
      <c r="S359" t="s">
        <v>69</v>
      </c>
      <c r="T359">
        <v>1</v>
      </c>
      <c r="U359" t="s">
        <v>61</v>
      </c>
      <c r="V359" t="s">
        <v>79</v>
      </c>
      <c r="W359">
        <v>0</v>
      </c>
      <c r="X359">
        <v>0</v>
      </c>
      <c r="Y359">
        <v>50</v>
      </c>
      <c r="Z359">
        <v>73</v>
      </c>
      <c r="AA359">
        <v>80</v>
      </c>
      <c r="AB359">
        <v>2000</v>
      </c>
      <c r="AC359">
        <v>1663</v>
      </c>
      <c r="AD359">
        <v>1663</v>
      </c>
      <c r="AE359">
        <v>0</v>
      </c>
      <c r="AF359">
        <v>0</v>
      </c>
      <c r="AG359">
        <v>0</v>
      </c>
      <c r="AH359">
        <v>445</v>
      </c>
      <c r="AI359">
        <v>0</v>
      </c>
      <c r="AJ359">
        <v>0</v>
      </c>
      <c r="AK359">
        <v>169</v>
      </c>
      <c r="AL359">
        <v>0</v>
      </c>
      <c r="AM359">
        <v>210</v>
      </c>
      <c r="AN359">
        <v>36</v>
      </c>
      <c r="AO359">
        <v>210</v>
      </c>
      <c r="AP359">
        <v>8</v>
      </c>
      <c r="AQ359">
        <v>0</v>
      </c>
      <c r="AR359">
        <v>1</v>
      </c>
      <c r="AS359" t="s">
        <v>141</v>
      </c>
      <c r="AT359">
        <v>1</v>
      </c>
      <c r="AU359" t="s">
        <v>63</v>
      </c>
      <c r="AV359" t="s">
        <v>65</v>
      </c>
      <c r="AW359">
        <v>1</v>
      </c>
      <c r="AX359">
        <v>3</v>
      </c>
      <c r="AY359">
        <v>0</v>
      </c>
      <c r="AZ359">
        <v>0</v>
      </c>
      <c r="BA359">
        <v>100</v>
      </c>
      <c r="BB359">
        <v>100</v>
      </c>
      <c r="BC359">
        <v>100</v>
      </c>
      <c r="BD359">
        <v>100</v>
      </c>
      <c r="BE359">
        <v>1</v>
      </c>
      <c r="BF359">
        <v>15000</v>
      </c>
      <c r="BG359">
        <v>1000</v>
      </c>
      <c r="BH359" s="8">
        <f>Granger_Inventory[[#This Row],[land_extract]]*Lookups!$B$3</f>
        <v>26250.377615159185</v>
      </c>
      <c r="BI359" s="8">
        <f>IF(Granger_Inventory[[#This Row],[bldg_style]]="",0,Lookups!$B$2)</f>
        <v>29703.559000000001</v>
      </c>
      <c r="BJ359" s="8">
        <f>_xlfn.IFNA(VLOOKUP(Granger_Inventory[[#This Row],[quality]],Lookups!$H$2:$J$14,3,FALSE),0)</f>
        <v>71767</v>
      </c>
      <c r="BK359" s="8">
        <f>_xlfn.IFNA(VLOOKUP(Granger_Inventory[[#This Row],[condition]],Lookups!$H$17:$J$24,3,FALSE),0)</f>
        <v>86727</v>
      </c>
      <c r="BL359" s="8">
        <f>Granger_Inventory[[#This Row],[Age]]*Lookups!$B$16</f>
        <v>-15135.1703</v>
      </c>
      <c r="BM359" s="8">
        <f>Granger_Inventory[[#This Row],[living_area]]*Lookups!$B$17</f>
        <v>111874.84766699999</v>
      </c>
      <c r="BN359" s="8">
        <f>(Granger_Inventory[[#This Row],[att_gar]]+Granger_Inventory[[#This Row],[blt_gar]])*Lookups!$B$18</f>
        <v>0</v>
      </c>
      <c r="BO359" s="8">
        <f>Granger_Inventory[[#This Row],[Patio]]*Lookups!$B$19</f>
        <v>11406.17016</v>
      </c>
      <c r="BP359" s="8">
        <f>SUM(Granger_Inventory[[#This Row],[Intercept]:[Patio_Value]])*Granger_Inventory[[#This Row],[res_pct]]</f>
        <v>296343.40652700001</v>
      </c>
      <c r="BQ359" s="8">
        <f>Granger_Inventory[[#This Row],[land_value]]</f>
        <v>26250.377615159185</v>
      </c>
      <c r="BR359" s="4">
        <f>_xlfn.IFNA(VLOOKUP(Granger_Inventory[[#This Row],[quality]],Lookups!$A$25:$C$35,3,FALSE),1)</f>
        <v>0.992092799099482</v>
      </c>
      <c r="BS359" s="4">
        <f>_xlfn.IFNA(VLOOKUP(Granger_Inventory[[#This Row],[condition]],Lookups!$A$38:$C$45,3,FALSE),1)</f>
        <v>0.85322907131620684</v>
      </c>
      <c r="BT359" s="4">
        <f>IF(Granger_Inventory[[#This Row],[decade]]="",1,_xlfn.IFNA(VLOOKUP(Granger_Inventory[[#This Row],[decade]],Lookups!$G$28:$I$42,3,FALSE),1))</f>
        <v>0.76006056002554967</v>
      </c>
      <c r="BU359" s="4">
        <f>_xlfn.IFNA(VLOOKUP(Granger_Inventory[[#This Row],[living_area_range]],Lookups!$A$48:$C$57,3,FALSE),1)</f>
        <v>0.97860968051050168</v>
      </c>
      <c r="BV359" s="4">
        <f>AVERAGE(Granger_Inventory[[#This Row],[qual_adj]:[living_range_adj]])</f>
        <v>0.89599802773793513</v>
      </c>
      <c r="BW359" s="8">
        <f>(Granger_Inventory[[#This Row],[sum_land]]-IF(Granger_Inventory[[#This Row],[no_utilities]]=1,12000,0))/IF(Granger_Inventory[[#This Row],[unbuildable]]=1,2,1)</f>
        <v>26250.377615159185</v>
      </c>
      <c r="BX359" s="8">
        <f>Granger_Inventory[[#This Row],[pre_res]]*Granger_Inventory[[#This Row],[overall_adj]]</f>
        <v>265523.10778133315</v>
      </c>
      <c r="BY359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359">
        <f>ROUND(Granger_Inventory[[#This Row],[detatched_value]]*Lookups!$I$45,-2)</f>
        <v>0</v>
      </c>
      <c r="CA359">
        <f>IF(ROUND(Granger_Inventory[[#This Row],[adj_res]]*Lookups!$I$45,-2)&lt;Granger_Inventory[[#This Row],[min_res]],Granger_Inventory[[#This Row],[min_res]],ROUND(Granger_Inventory[[#This Row],[adj_res]]*Lookups!$I$45,-2))</f>
        <v>252200</v>
      </c>
      <c r="CB359">
        <f>Granger_Inventory[[#This Row],[final_det]]+Granger_Inventory[[#This Row],[final_res]]</f>
        <v>252200</v>
      </c>
      <c r="CC359">
        <f>Granger_Inventory[[#This Row],[final_land]]+Granger_Inventory[[#This Row],[final_imp]]+Granger_Inventory[[#This Row],[crop_value]]</f>
        <v>277100</v>
      </c>
      <c r="CE359" t="str">
        <f t="shared" si="5"/>
        <v>update valuation set market_land =24900, market_bldg=252200, market_total =277100, market_mdno =402, market_date ='9/10/2023' where link_id = (select link_id from parcel where parcel_year = '2024' and parcel_id = '21102113432');</v>
      </c>
    </row>
    <row r="360" spans="1:83" x14ac:dyDescent="0.25">
      <c r="A360">
        <v>21102113436</v>
      </c>
      <c r="B360">
        <v>0.14000000000000001</v>
      </c>
      <c r="C360">
        <v>6250</v>
      </c>
      <c r="D360" t="s">
        <v>137</v>
      </c>
      <c r="E360" t="s">
        <v>54</v>
      </c>
      <c r="F360" t="s">
        <v>54</v>
      </c>
      <c r="G360">
        <v>3</v>
      </c>
      <c r="H360" t="s">
        <v>55</v>
      </c>
      <c r="I360">
        <v>73100</v>
      </c>
      <c r="J360">
        <v>25900</v>
      </c>
      <c r="K360">
        <v>0.14000000000000001</v>
      </c>
      <c r="L36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0">
        <v>0</v>
      </c>
      <c r="N360">
        <v>0</v>
      </c>
      <c r="O360">
        <v>0</v>
      </c>
      <c r="P360">
        <v>47108.068500000001</v>
      </c>
      <c r="Q360">
        <v>122298</v>
      </c>
      <c r="R360">
        <f>(Granger_Inventory[[#This Row],[ln_acres]]*Granger_Inventory[[#This Row],[coeff]])+Granger_Inventory[[#This Row],[const]]</f>
        <v>29678.220883257934</v>
      </c>
      <c r="S360" t="s">
        <v>66</v>
      </c>
      <c r="T360">
        <v>1</v>
      </c>
      <c r="U360" t="s">
        <v>71</v>
      </c>
      <c r="V360" t="s">
        <v>79</v>
      </c>
      <c r="W360">
        <v>0</v>
      </c>
      <c r="X360">
        <v>0</v>
      </c>
      <c r="Y360">
        <v>57</v>
      </c>
      <c r="Z360">
        <v>103</v>
      </c>
      <c r="AA360">
        <v>110</v>
      </c>
      <c r="AB360">
        <v>1000</v>
      </c>
      <c r="AC360">
        <v>952</v>
      </c>
      <c r="AD360">
        <v>952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112</v>
      </c>
      <c r="AO360">
        <v>0</v>
      </c>
      <c r="AP360">
        <v>5</v>
      </c>
      <c r="AQ360">
        <v>0</v>
      </c>
      <c r="AR360">
        <v>1</v>
      </c>
      <c r="AS360" t="s">
        <v>59</v>
      </c>
      <c r="AT360">
        <v>0</v>
      </c>
      <c r="AU360" t="s">
        <v>83</v>
      </c>
      <c r="AV360" t="s">
        <v>143</v>
      </c>
      <c r="AW360">
        <v>0</v>
      </c>
      <c r="AX360">
        <v>2</v>
      </c>
      <c r="AY360">
        <v>0</v>
      </c>
      <c r="AZ360">
        <v>1100</v>
      </c>
      <c r="BA360">
        <v>100</v>
      </c>
      <c r="BB360">
        <v>100</v>
      </c>
      <c r="BC360">
        <v>100</v>
      </c>
      <c r="BD360">
        <v>100</v>
      </c>
      <c r="BE360">
        <v>1</v>
      </c>
      <c r="BF360">
        <v>15000</v>
      </c>
      <c r="BG360">
        <v>1000</v>
      </c>
      <c r="BH360" s="8">
        <f>Granger_Inventory[[#This Row],[land_extract]]*Lookups!$B$3</f>
        <v>17680.230269359956</v>
      </c>
      <c r="BI360" s="8">
        <f>IF(Granger_Inventory[[#This Row],[bldg_style]]="",0,Lookups!$B$2)</f>
        <v>29703.559000000001</v>
      </c>
      <c r="BJ360" s="8">
        <f>_xlfn.IFNA(VLOOKUP(Granger_Inventory[[#This Row],[quality]],Lookups!$H$2:$J$14,3,FALSE),0)</f>
        <v>34195</v>
      </c>
      <c r="BK360" s="8">
        <f>_xlfn.IFNA(VLOOKUP(Granger_Inventory[[#This Row],[condition]],Lookups!$H$17:$J$24,3,FALSE),0)</f>
        <v>86727</v>
      </c>
      <c r="BL360" s="8">
        <f>Granger_Inventory[[#This Row],[Age]]*Lookups!$B$16</f>
        <v>-21355.103299999999</v>
      </c>
      <c r="BM360" s="8">
        <f>Granger_Inventory[[#This Row],[living_area]]*Lookups!$B$17</f>
        <v>64043.809368000002</v>
      </c>
      <c r="BN360" s="8">
        <f>(Granger_Inventory[[#This Row],[att_gar]]+Granger_Inventory[[#This Row],[blt_gar]])*Lookups!$B$18</f>
        <v>0</v>
      </c>
      <c r="BO360" s="8">
        <f>Granger_Inventory[[#This Row],[Patio]]*Lookups!$B$19</f>
        <v>0</v>
      </c>
      <c r="BP360" s="8">
        <f>SUM(Granger_Inventory[[#This Row],[Intercept]:[Patio_Value]])*Granger_Inventory[[#This Row],[res_pct]]</f>
        <v>193314.26506800001</v>
      </c>
      <c r="BQ360" s="8">
        <f>Granger_Inventory[[#This Row],[land_value]]</f>
        <v>17680.230269359956</v>
      </c>
      <c r="BR360" s="4">
        <f>_xlfn.IFNA(VLOOKUP(Granger_Inventory[[#This Row],[quality]],Lookups!$A$25:$C$35,3,FALSE),1)</f>
        <v>0.98258795897788032</v>
      </c>
      <c r="BS360" s="4">
        <f>_xlfn.IFNA(VLOOKUP(Granger_Inventory[[#This Row],[condition]],Lookups!$A$38:$C$45,3,FALSE),1)</f>
        <v>0.85322907131620684</v>
      </c>
      <c r="BT360" s="4">
        <f>IF(Granger_Inventory[[#This Row],[decade]]="",1,_xlfn.IFNA(VLOOKUP(Granger_Inventory[[#This Row],[decade]],Lookups!$G$28:$I$42,3,FALSE),1))</f>
        <v>0.879441629375324</v>
      </c>
      <c r="BU360" s="4">
        <f>_xlfn.IFNA(VLOOKUP(Granger_Inventory[[#This Row],[living_area_range]],Lookups!$A$48:$C$57,3,FALSE),1)</f>
        <v>0.81272404900450645</v>
      </c>
      <c r="BV360" s="4">
        <f>AVERAGE(Granger_Inventory[[#This Row],[qual_adj]:[living_range_adj]])</f>
        <v>0.88199567716847938</v>
      </c>
      <c r="BW360" s="8">
        <f>(Granger_Inventory[[#This Row],[sum_land]]-IF(Granger_Inventory[[#This Row],[no_utilities]]=1,12000,0))/IF(Granger_Inventory[[#This Row],[unbuildable]]=1,2,1)</f>
        <v>17680.230269359956</v>
      </c>
      <c r="BX360" s="8">
        <f>Granger_Inventory[[#This Row],[pre_res]]*Granger_Inventory[[#This Row],[overall_adj]]</f>
        <v>170502.34612497757</v>
      </c>
      <c r="BY36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0">
        <f>ROUND(Granger_Inventory[[#This Row],[detatched_value]]*Lookups!$I$45,-2)</f>
        <v>1000</v>
      </c>
      <c r="CA360">
        <f>IF(ROUND(Granger_Inventory[[#This Row],[adj_res]]*Lookups!$I$45,-2)&lt;Granger_Inventory[[#This Row],[min_res]],Granger_Inventory[[#This Row],[min_res]],ROUND(Granger_Inventory[[#This Row],[adj_res]]*Lookups!$I$45,-2))</f>
        <v>162000</v>
      </c>
      <c r="CB360">
        <f>Granger_Inventory[[#This Row],[final_det]]+Granger_Inventory[[#This Row],[final_res]]</f>
        <v>163000</v>
      </c>
      <c r="CC360">
        <f>Granger_Inventory[[#This Row],[final_land]]+Granger_Inventory[[#This Row],[final_imp]]+Granger_Inventory[[#This Row],[crop_value]]</f>
        <v>179800</v>
      </c>
      <c r="CE360" t="str">
        <f t="shared" si="5"/>
        <v>update valuation set market_land =16800, market_bldg=163000, market_total =179800, market_mdno =402, market_date ='9/10/2023' where link_id = (select link_id from parcel where parcel_year = '2024' and parcel_id = '21102113436');</v>
      </c>
    </row>
    <row r="361" spans="1:83" x14ac:dyDescent="0.25">
      <c r="A361">
        <v>21102113437</v>
      </c>
      <c r="B361">
        <v>7.0000000000000007E-2</v>
      </c>
      <c r="C361">
        <v>3125</v>
      </c>
      <c r="D361" t="s">
        <v>137</v>
      </c>
      <c r="E361" t="s">
        <v>54</v>
      </c>
      <c r="F361" t="s">
        <v>54</v>
      </c>
      <c r="G361">
        <v>3</v>
      </c>
      <c r="H361" t="s">
        <v>55</v>
      </c>
      <c r="I361">
        <v>56400</v>
      </c>
      <c r="J361">
        <v>21800</v>
      </c>
      <c r="K361">
        <v>7.0000000000000007E-2</v>
      </c>
      <c r="L361">
        <f>IF(Granger_Inventory[[#This Row],[parcel_acres]]-Granger_Inventory[[#This Row],[non_valued_acres]] =0,0,LN(Granger_Inventory[[#This Row],[parcel_acres]]-Granger_Inventory[[#This Row],[non_valued_acres]]))</f>
        <v>-2.6592600369327779</v>
      </c>
      <c r="M361">
        <v>0</v>
      </c>
      <c r="N361">
        <v>0</v>
      </c>
      <c r="O361">
        <v>0</v>
      </c>
      <c r="P361">
        <v>47108.068500000001</v>
      </c>
      <c r="Q361">
        <v>122298</v>
      </c>
      <c r="R361">
        <f>(Granger_Inventory[[#This Row],[ln_acres]]*Granger_Inventory[[#This Row],[coeff]])+Granger_Inventory[[#This Row],[const]]</f>
        <v>-2974.6039791418298</v>
      </c>
      <c r="S361" t="s">
        <v>69</v>
      </c>
      <c r="T361">
        <v>1</v>
      </c>
      <c r="U361" t="s">
        <v>106</v>
      </c>
      <c r="V361" t="s">
        <v>79</v>
      </c>
      <c r="W361">
        <v>0</v>
      </c>
      <c r="X361">
        <v>0</v>
      </c>
      <c r="Y361">
        <v>57</v>
      </c>
      <c r="Z361">
        <v>103</v>
      </c>
      <c r="AA361">
        <v>110</v>
      </c>
      <c r="AB361">
        <v>1000</v>
      </c>
      <c r="AC361">
        <v>845</v>
      </c>
      <c r="AD361">
        <v>845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328</v>
      </c>
      <c r="AO361">
        <v>0</v>
      </c>
      <c r="AP361">
        <v>5</v>
      </c>
      <c r="AQ361">
        <v>0</v>
      </c>
      <c r="AR361">
        <v>0</v>
      </c>
      <c r="AS361" t="s">
        <v>59</v>
      </c>
      <c r="AT361">
        <v>1</v>
      </c>
      <c r="AU361" t="s">
        <v>60</v>
      </c>
      <c r="AV361" t="s">
        <v>61</v>
      </c>
      <c r="AW361">
        <v>0</v>
      </c>
      <c r="AX361">
        <v>3</v>
      </c>
      <c r="AY361">
        <v>0</v>
      </c>
      <c r="AZ361">
        <v>2000</v>
      </c>
      <c r="BA361">
        <v>100</v>
      </c>
      <c r="BB361">
        <v>100</v>
      </c>
      <c r="BC361">
        <v>100</v>
      </c>
      <c r="BD361">
        <v>100</v>
      </c>
      <c r="BE361">
        <v>1</v>
      </c>
      <c r="BF361">
        <v>15000</v>
      </c>
      <c r="BG361">
        <v>1000</v>
      </c>
      <c r="BH361" s="8">
        <f>Granger_Inventory[[#This Row],[land_extract]]*Lookups!$B$3</f>
        <v>-1772.0632081773456</v>
      </c>
      <c r="BI361" s="8">
        <f>IF(Granger_Inventory[[#This Row],[bldg_style]]="",0,Lookups!$B$2)</f>
        <v>29703.559000000001</v>
      </c>
      <c r="BJ361" s="8">
        <f>_xlfn.IFNA(VLOOKUP(Granger_Inventory[[#This Row],[quality]],Lookups!$H$2:$J$14,3,FALSE),0)</f>
        <v>17985.540667792327</v>
      </c>
      <c r="BK361" s="8">
        <f>_xlfn.IFNA(VLOOKUP(Granger_Inventory[[#This Row],[condition]],Lookups!$H$17:$J$24,3,FALSE),0)</f>
        <v>86727</v>
      </c>
      <c r="BL361" s="8">
        <f>Granger_Inventory[[#This Row],[Age]]*Lookups!$B$16</f>
        <v>-21355.103299999999</v>
      </c>
      <c r="BM361" s="8">
        <f>Granger_Inventory[[#This Row],[living_area]]*Lookups!$B$17</f>
        <v>56845.608104999999</v>
      </c>
      <c r="BN361" s="8">
        <f>(Granger_Inventory[[#This Row],[att_gar]]+Granger_Inventory[[#This Row],[blt_gar]])*Lookups!$B$18</f>
        <v>0</v>
      </c>
      <c r="BO361" s="8">
        <f>Granger_Inventory[[#This Row],[Patio]]*Lookups!$B$19</f>
        <v>0</v>
      </c>
      <c r="BP361" s="8">
        <f>SUM(Granger_Inventory[[#This Row],[Intercept]:[Patio_Value]])*Granger_Inventory[[#This Row],[res_pct]]</f>
        <v>169906.60447279233</v>
      </c>
      <c r="BQ361" s="8">
        <f>Granger_Inventory[[#This Row],[land_value]]</f>
        <v>-1772.0632081773456</v>
      </c>
      <c r="BR361" s="4">
        <f>_xlfn.IFNA(VLOOKUP(Granger_Inventory[[#This Row],[quality]],Lookups!$A$25:$C$35,3,FALSE),1)</f>
        <v>0.77695375541795109</v>
      </c>
      <c r="BS361" s="4">
        <f>_xlfn.IFNA(VLOOKUP(Granger_Inventory[[#This Row],[condition]],Lookups!$A$38:$C$45,3,FALSE),1)</f>
        <v>0.85322907131620684</v>
      </c>
      <c r="BT361" s="4">
        <f>IF(Granger_Inventory[[#This Row],[decade]]="",1,_xlfn.IFNA(VLOOKUP(Granger_Inventory[[#This Row],[decade]],Lookups!$G$28:$I$42,3,FALSE),1))</f>
        <v>0.879441629375324</v>
      </c>
      <c r="BU361" s="4">
        <f>_xlfn.IFNA(VLOOKUP(Granger_Inventory[[#This Row],[living_area_range]],Lookups!$A$48:$C$57,3,FALSE),1)</f>
        <v>0.81272404900450645</v>
      </c>
      <c r="BV361" s="4">
        <f>AVERAGE(Granger_Inventory[[#This Row],[qual_adj]:[living_range_adj]])</f>
        <v>0.83058712627849718</v>
      </c>
      <c r="BW361" s="8">
        <f>(Granger_Inventory[[#This Row],[sum_land]]-IF(Granger_Inventory[[#This Row],[no_utilities]]=1,12000,0))/IF(Granger_Inventory[[#This Row],[unbuildable]]=1,2,1)</f>
        <v>-1772.0632081773456</v>
      </c>
      <c r="BX361" s="8">
        <f>Granger_Inventory[[#This Row],[pre_res]]*Granger_Inventory[[#This Row],[overall_adj]]</f>
        <v>141122.23834479385</v>
      </c>
      <c r="BY361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61">
        <f>ROUND(Granger_Inventory[[#This Row],[detatched_value]]*Lookups!$I$45,-2)</f>
        <v>1900</v>
      </c>
      <c r="CA361">
        <f>IF(ROUND(Granger_Inventory[[#This Row],[adj_res]]*Lookups!$I$45,-2)&lt;Granger_Inventory[[#This Row],[min_res]],Granger_Inventory[[#This Row],[min_res]],ROUND(Granger_Inventory[[#This Row],[adj_res]]*Lookups!$I$45,-2))</f>
        <v>134100</v>
      </c>
      <c r="CB361">
        <f>Granger_Inventory[[#This Row],[final_det]]+Granger_Inventory[[#This Row],[final_res]]</f>
        <v>136000</v>
      </c>
      <c r="CC361">
        <f>Granger_Inventory[[#This Row],[final_land]]+Granger_Inventory[[#This Row],[final_imp]]+Granger_Inventory[[#This Row],[crop_value]]</f>
        <v>151000</v>
      </c>
      <c r="CE361" t="str">
        <f t="shared" si="5"/>
        <v>update valuation set market_land =15000, market_bldg=136000, market_total =151000, market_mdno =402, market_date ='9/10/2023' where link_id = (select link_id from parcel where parcel_year = '2024' and parcel_id = '21102113437');</v>
      </c>
    </row>
    <row r="362" spans="1:83" x14ac:dyDescent="0.25">
      <c r="A362">
        <v>21102113438</v>
      </c>
      <c r="B362">
        <v>0.1</v>
      </c>
      <c r="C362">
        <v>4375</v>
      </c>
      <c r="D362" t="s">
        <v>137</v>
      </c>
      <c r="E362" t="s">
        <v>54</v>
      </c>
      <c r="F362" t="s">
        <v>54</v>
      </c>
      <c r="G362">
        <v>3</v>
      </c>
      <c r="H362" t="s">
        <v>55</v>
      </c>
      <c r="I362">
        <v>70400</v>
      </c>
      <c r="J362">
        <v>23900</v>
      </c>
      <c r="K362">
        <v>0.1</v>
      </c>
      <c r="L362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362">
        <v>0</v>
      </c>
      <c r="N362">
        <v>0</v>
      </c>
      <c r="O362">
        <v>0</v>
      </c>
      <c r="P362">
        <v>47108.068500000001</v>
      </c>
      <c r="Q362">
        <v>122298</v>
      </c>
      <c r="R362">
        <f>(Granger_Inventory[[#This Row],[ln_acres]]*Granger_Inventory[[#This Row],[coeff]])+Granger_Inventory[[#This Row],[const]]</f>
        <v>13827.663712157635</v>
      </c>
      <c r="S362" t="s">
        <v>69</v>
      </c>
      <c r="T362">
        <v>1</v>
      </c>
      <c r="U362" t="s">
        <v>78</v>
      </c>
      <c r="V362" t="s">
        <v>79</v>
      </c>
      <c r="W362">
        <v>0</v>
      </c>
      <c r="X362">
        <v>0</v>
      </c>
      <c r="Y362">
        <v>53</v>
      </c>
      <c r="Z362">
        <v>93</v>
      </c>
      <c r="AA362">
        <v>100</v>
      </c>
      <c r="AB362">
        <v>1000</v>
      </c>
      <c r="AC362">
        <v>970</v>
      </c>
      <c r="AD362">
        <v>970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36</v>
      </c>
      <c r="AO362">
        <v>0</v>
      </c>
      <c r="AP362">
        <v>5</v>
      </c>
      <c r="AQ362">
        <v>0</v>
      </c>
      <c r="AR362">
        <v>0</v>
      </c>
      <c r="AS362" t="s">
        <v>59</v>
      </c>
      <c r="AT362">
        <v>1</v>
      </c>
      <c r="AU362" t="s">
        <v>76</v>
      </c>
      <c r="AV362" t="s">
        <v>65</v>
      </c>
      <c r="AW362">
        <v>0</v>
      </c>
      <c r="AX362">
        <v>3</v>
      </c>
      <c r="AY362">
        <v>0</v>
      </c>
      <c r="AZ362">
        <v>0</v>
      </c>
      <c r="BA362">
        <v>100</v>
      </c>
      <c r="BB362">
        <v>100</v>
      </c>
      <c r="BC362">
        <v>100</v>
      </c>
      <c r="BD362">
        <v>100</v>
      </c>
      <c r="BE362">
        <v>1</v>
      </c>
      <c r="BF362">
        <v>15000</v>
      </c>
      <c r="BG362">
        <v>1000</v>
      </c>
      <c r="BH362" s="8">
        <f>Granger_Inventory[[#This Row],[land_extract]]*Lookups!$B$3</f>
        <v>8237.5651653746372</v>
      </c>
      <c r="BI362" s="8">
        <f>IF(Granger_Inventory[[#This Row],[bldg_style]]="",0,Lookups!$B$2)</f>
        <v>29703.559000000001</v>
      </c>
      <c r="BJ362" s="8">
        <f>_xlfn.IFNA(VLOOKUP(Granger_Inventory[[#This Row],[quality]],Lookups!$H$2:$J$14,3,FALSE),0)</f>
        <v>23737.786340274597</v>
      </c>
      <c r="BK362" s="8">
        <f>_xlfn.IFNA(VLOOKUP(Granger_Inventory[[#This Row],[condition]],Lookups!$H$17:$J$24,3,FALSE),0)</f>
        <v>86727</v>
      </c>
      <c r="BL362" s="8">
        <f>Granger_Inventory[[#This Row],[Age]]*Lookups!$B$16</f>
        <v>-19281.792300000001</v>
      </c>
      <c r="BM362" s="8">
        <f>Granger_Inventory[[#This Row],[living_area]]*Lookups!$B$17</f>
        <v>65254.721729999997</v>
      </c>
      <c r="BN362" s="8">
        <f>(Granger_Inventory[[#This Row],[att_gar]]+Granger_Inventory[[#This Row],[blt_gar]])*Lookups!$B$18</f>
        <v>0</v>
      </c>
      <c r="BO362" s="8">
        <f>Granger_Inventory[[#This Row],[Patio]]*Lookups!$B$19</f>
        <v>0</v>
      </c>
      <c r="BP362" s="8">
        <f>SUM(Granger_Inventory[[#This Row],[Intercept]:[Patio_Value]])*Granger_Inventory[[#This Row],[res_pct]]</f>
        <v>186141.27477027458</v>
      </c>
      <c r="BQ362" s="8">
        <f>Granger_Inventory[[#This Row],[land_value]]</f>
        <v>8237.5651653746372</v>
      </c>
      <c r="BR362" s="4">
        <f>_xlfn.IFNA(VLOOKUP(Granger_Inventory[[#This Row],[quality]],Lookups!$A$25:$C$35,3,FALSE),1)</f>
        <v>0.77695375541795109</v>
      </c>
      <c r="BS362" s="4">
        <f>_xlfn.IFNA(VLOOKUP(Granger_Inventory[[#This Row],[condition]],Lookups!$A$38:$C$45,3,FALSE),1)</f>
        <v>0.85322907131620684</v>
      </c>
      <c r="BT362" s="4">
        <f>IF(Granger_Inventory[[#This Row],[decade]]="",1,_xlfn.IFNA(VLOOKUP(Granger_Inventory[[#This Row],[decade]],Lookups!$G$28:$I$42,3,FALSE),1))</f>
        <v>0.879441629375324</v>
      </c>
      <c r="BU362" s="4">
        <f>_xlfn.IFNA(VLOOKUP(Granger_Inventory[[#This Row],[living_area_range]],Lookups!$A$48:$C$57,3,FALSE),1)</f>
        <v>0.81272404900450645</v>
      </c>
      <c r="BV362" s="4">
        <f>AVERAGE(Granger_Inventory[[#This Row],[qual_adj]:[living_range_adj]])</f>
        <v>0.83058712627849718</v>
      </c>
      <c r="BW362" s="8">
        <f>(Granger_Inventory[[#This Row],[sum_land]]-IF(Granger_Inventory[[#This Row],[no_utilities]]=1,12000,0))/IF(Granger_Inventory[[#This Row],[unbuildable]]=1,2,1)</f>
        <v>8237.5651653746372</v>
      </c>
      <c r="BX362" s="8">
        <f>Granger_Inventory[[#This Row],[pre_res]]*Granger_Inventory[[#This Row],[overall_adj]]</f>
        <v>154606.5464932585</v>
      </c>
      <c r="BY362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62">
        <f>ROUND(Granger_Inventory[[#This Row],[detatched_value]]*Lookups!$I$45,-2)</f>
        <v>0</v>
      </c>
      <c r="CA362">
        <f>IF(ROUND(Granger_Inventory[[#This Row],[adj_res]]*Lookups!$I$45,-2)&lt;Granger_Inventory[[#This Row],[min_res]],Granger_Inventory[[#This Row],[min_res]],ROUND(Granger_Inventory[[#This Row],[adj_res]]*Lookups!$I$45,-2))</f>
        <v>146900</v>
      </c>
      <c r="CB362">
        <f>Granger_Inventory[[#This Row],[final_det]]+Granger_Inventory[[#This Row],[final_res]]</f>
        <v>146900</v>
      </c>
      <c r="CC362">
        <f>Granger_Inventory[[#This Row],[final_land]]+Granger_Inventory[[#This Row],[final_imp]]+Granger_Inventory[[#This Row],[crop_value]]</f>
        <v>161900</v>
      </c>
      <c r="CE362" t="str">
        <f t="shared" si="5"/>
        <v>update valuation set market_land =15000, market_bldg=146900, market_total =161900, market_mdno =402, market_date ='9/10/2023' where link_id = (select link_id from parcel where parcel_year = '2024' and parcel_id = '21102113438');</v>
      </c>
    </row>
    <row r="363" spans="1:83" x14ac:dyDescent="0.25">
      <c r="A363">
        <v>21102113456</v>
      </c>
      <c r="B363">
        <v>0.28000000000000003</v>
      </c>
      <c r="C363">
        <v>12122</v>
      </c>
      <c r="D363" t="s">
        <v>137</v>
      </c>
      <c r="E363" t="s">
        <v>54</v>
      </c>
      <c r="F363" t="s">
        <v>54</v>
      </c>
      <c r="G363">
        <v>3</v>
      </c>
      <c r="H363" t="s">
        <v>55</v>
      </c>
      <c r="I363">
        <v>97000</v>
      </c>
      <c r="J363">
        <v>28100</v>
      </c>
      <c r="K363">
        <v>0.28000000000000003</v>
      </c>
      <c r="L363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363">
        <v>0</v>
      </c>
      <c r="N363">
        <v>0</v>
      </c>
      <c r="O363">
        <v>0</v>
      </c>
      <c r="P363">
        <v>47108.068500000001</v>
      </c>
      <c r="Q363">
        <v>122298</v>
      </c>
      <c r="R363">
        <f>(Granger_Inventory[[#This Row],[ln_acres]]*Granger_Inventory[[#This Row],[coeff]])+Granger_Inventory[[#This Row],[const]]</f>
        <v>62331.045745657706</v>
      </c>
      <c r="S363" t="s">
        <v>69</v>
      </c>
      <c r="T363">
        <v>1</v>
      </c>
      <c r="U363" t="s">
        <v>78</v>
      </c>
      <c r="V363" t="s">
        <v>72</v>
      </c>
      <c r="W363">
        <v>0</v>
      </c>
      <c r="X363">
        <v>0</v>
      </c>
      <c r="Y363">
        <v>53</v>
      </c>
      <c r="Z363">
        <v>93</v>
      </c>
      <c r="AA363">
        <v>100</v>
      </c>
      <c r="AB363">
        <v>1000</v>
      </c>
      <c r="AC363">
        <v>896</v>
      </c>
      <c r="AD363">
        <v>896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5</v>
      </c>
      <c r="AQ363">
        <v>0</v>
      </c>
      <c r="AR363">
        <v>0</v>
      </c>
      <c r="AS363" t="s">
        <v>59</v>
      </c>
      <c r="AT363">
        <v>0</v>
      </c>
      <c r="AU363" t="s">
        <v>83</v>
      </c>
      <c r="AV363" t="s">
        <v>61</v>
      </c>
      <c r="AW363">
        <v>0</v>
      </c>
      <c r="AX363">
        <v>2</v>
      </c>
      <c r="AY363">
        <v>0</v>
      </c>
      <c r="AZ363">
        <v>0</v>
      </c>
      <c r="BA363">
        <v>100</v>
      </c>
      <c r="BB363">
        <v>100</v>
      </c>
      <c r="BC363">
        <v>100</v>
      </c>
      <c r="BD363">
        <v>100</v>
      </c>
      <c r="BE363">
        <v>1</v>
      </c>
      <c r="BF363">
        <v>15000</v>
      </c>
      <c r="BG363">
        <v>1000</v>
      </c>
      <c r="BH363" s="8">
        <f>Granger_Inventory[[#This Row],[land_extract]]*Lookups!$B$3</f>
        <v>37132.523746897263</v>
      </c>
      <c r="BI363" s="8">
        <f>IF(Granger_Inventory[[#This Row],[bldg_style]]="",0,Lookups!$B$2)</f>
        <v>29703.559000000001</v>
      </c>
      <c r="BJ363" s="8">
        <f>_xlfn.IFNA(VLOOKUP(Granger_Inventory[[#This Row],[quality]],Lookups!$H$2:$J$14,3,FALSE),0)</f>
        <v>23737.786340274597</v>
      </c>
      <c r="BK363" s="8">
        <f>_xlfn.IFNA(VLOOKUP(Granger_Inventory[[#This Row],[condition]],Lookups!$H$17:$J$24,3,FALSE),0)</f>
        <v>94106</v>
      </c>
      <c r="BL363" s="8">
        <f>Granger_Inventory[[#This Row],[Age]]*Lookups!$B$16</f>
        <v>-19281.792300000001</v>
      </c>
      <c r="BM363" s="8">
        <f>Granger_Inventory[[#This Row],[living_area]]*Lookups!$B$17</f>
        <v>60276.526463999995</v>
      </c>
      <c r="BN363" s="8">
        <f>(Granger_Inventory[[#This Row],[att_gar]]+Granger_Inventory[[#This Row],[blt_gar]])*Lookups!$B$18</f>
        <v>0</v>
      </c>
      <c r="BO363" s="8">
        <f>Granger_Inventory[[#This Row],[Patio]]*Lookups!$B$19</f>
        <v>0</v>
      </c>
      <c r="BP363" s="8">
        <f>SUM(Granger_Inventory[[#This Row],[Intercept]:[Patio_Value]])*Granger_Inventory[[#This Row],[res_pct]]</f>
        <v>188542.07950427459</v>
      </c>
      <c r="BQ363" s="8">
        <f>Granger_Inventory[[#This Row],[land_value]]</f>
        <v>37132.523746897263</v>
      </c>
      <c r="BR363" s="4">
        <f>_xlfn.IFNA(VLOOKUP(Granger_Inventory[[#This Row],[quality]],Lookups!$A$25:$C$35,3,FALSE),1)</f>
        <v>0.77695375541795109</v>
      </c>
      <c r="BS363" s="4">
        <f>_xlfn.IFNA(VLOOKUP(Granger_Inventory[[#This Row],[condition]],Lookups!$A$38:$C$45,3,FALSE),1)</f>
        <v>0.98658583151544277</v>
      </c>
      <c r="BT363" s="4">
        <f>IF(Granger_Inventory[[#This Row],[decade]]="",1,_xlfn.IFNA(VLOOKUP(Granger_Inventory[[#This Row],[decade]],Lookups!$G$28:$I$42,3,FALSE),1))</f>
        <v>0.879441629375324</v>
      </c>
      <c r="BU363" s="4">
        <f>_xlfn.IFNA(VLOOKUP(Granger_Inventory[[#This Row],[living_area_range]],Lookups!$A$48:$C$57,3,FALSE),1)</f>
        <v>0.81272404900450645</v>
      </c>
      <c r="BV363" s="4">
        <f>AVERAGE(Granger_Inventory[[#This Row],[qual_adj]:[living_range_adj]])</f>
        <v>0.86392631632830608</v>
      </c>
      <c r="BW363" s="8">
        <f>(Granger_Inventory[[#This Row],[sum_land]]-IF(Granger_Inventory[[#This Row],[no_utilities]]=1,12000,0))/IF(Granger_Inventory[[#This Row],[unbuildable]]=1,2,1)</f>
        <v>37132.523746897263</v>
      </c>
      <c r="BX363" s="8">
        <f>Granger_Inventory[[#This Row],[pre_res]]*Granger_Inventory[[#This Row],[overall_adj]]</f>
        <v>162886.46421900656</v>
      </c>
      <c r="BY363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363">
        <f>ROUND(Granger_Inventory[[#This Row],[detatched_value]]*Lookups!$I$45,-2)</f>
        <v>0</v>
      </c>
      <c r="CA363">
        <f>IF(ROUND(Granger_Inventory[[#This Row],[adj_res]]*Lookups!$I$45,-2)&lt;Granger_Inventory[[#This Row],[min_res]],Granger_Inventory[[#This Row],[min_res]],ROUND(Granger_Inventory[[#This Row],[adj_res]]*Lookups!$I$45,-2))</f>
        <v>154700</v>
      </c>
      <c r="CB363">
        <f>Granger_Inventory[[#This Row],[final_det]]+Granger_Inventory[[#This Row],[final_res]]</f>
        <v>154700</v>
      </c>
      <c r="CC363">
        <f>Granger_Inventory[[#This Row],[final_land]]+Granger_Inventory[[#This Row],[final_imp]]+Granger_Inventory[[#This Row],[crop_value]]</f>
        <v>190000</v>
      </c>
      <c r="CE363" t="str">
        <f t="shared" si="5"/>
        <v>update valuation set market_land =35300, market_bldg=154700, market_total =190000, market_mdno =402, market_date ='9/10/2023' where link_id = (select link_id from parcel where parcel_year = '2024' and parcel_id = '21102113456');</v>
      </c>
    </row>
    <row r="364" spans="1:83" x14ac:dyDescent="0.25">
      <c r="A364">
        <v>21102113458</v>
      </c>
      <c r="B364">
        <v>0.28999999999999998</v>
      </c>
      <c r="C364">
        <v>12658</v>
      </c>
      <c r="D364" t="s">
        <v>137</v>
      </c>
      <c r="E364" t="s">
        <v>54</v>
      </c>
      <c r="F364" t="s">
        <v>54</v>
      </c>
      <c r="G364">
        <v>3</v>
      </c>
      <c r="H364" t="s">
        <v>55</v>
      </c>
      <c r="I364">
        <v>154500</v>
      </c>
      <c r="J364">
        <v>30200</v>
      </c>
      <c r="K364">
        <v>0.28999999999999998</v>
      </c>
      <c r="L364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364">
        <v>0</v>
      </c>
      <c r="N364">
        <v>0</v>
      </c>
      <c r="O364">
        <v>0</v>
      </c>
      <c r="P364">
        <v>47108.068500000001</v>
      </c>
      <c r="Q364">
        <v>122298</v>
      </c>
      <c r="R364">
        <f>(Granger_Inventory[[#This Row],[ln_acres]]*Granger_Inventory[[#This Row],[coeff]])+Granger_Inventory[[#This Row],[const]]</f>
        <v>63984.130043082419</v>
      </c>
      <c r="S364" t="s">
        <v>56</v>
      </c>
      <c r="T364">
        <v>1</v>
      </c>
      <c r="U364" t="s">
        <v>78</v>
      </c>
      <c r="V364" t="s">
        <v>72</v>
      </c>
      <c r="W364">
        <v>0</v>
      </c>
      <c r="X364">
        <v>0</v>
      </c>
      <c r="Y364">
        <v>53</v>
      </c>
      <c r="Z364">
        <v>93</v>
      </c>
      <c r="AA364">
        <v>100</v>
      </c>
      <c r="AB364">
        <v>1500</v>
      </c>
      <c r="AC364">
        <v>1278</v>
      </c>
      <c r="AD364">
        <v>1278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77</v>
      </c>
      <c r="AO364">
        <v>0</v>
      </c>
      <c r="AP364">
        <v>5</v>
      </c>
      <c r="AQ364">
        <v>0</v>
      </c>
      <c r="AR364">
        <v>0</v>
      </c>
      <c r="AS364" t="s">
        <v>59</v>
      </c>
      <c r="AT364">
        <v>1</v>
      </c>
      <c r="AU364" t="s">
        <v>60</v>
      </c>
      <c r="AV364" t="s">
        <v>65</v>
      </c>
      <c r="AW364">
        <v>0</v>
      </c>
      <c r="AX364">
        <v>3</v>
      </c>
      <c r="AY364">
        <v>0</v>
      </c>
      <c r="AZ364">
        <v>18000</v>
      </c>
      <c r="BA364">
        <v>100</v>
      </c>
      <c r="BB364">
        <v>100</v>
      </c>
      <c r="BC364">
        <v>100</v>
      </c>
      <c r="BD364">
        <v>100</v>
      </c>
      <c r="BE364">
        <v>1</v>
      </c>
      <c r="BF364">
        <v>15000</v>
      </c>
      <c r="BG364">
        <v>1000</v>
      </c>
      <c r="BH364" s="8">
        <f>Granger_Inventory[[#This Row],[land_extract]]*Lookups!$B$3</f>
        <v>38117.316977869523</v>
      </c>
      <c r="BI364" s="8">
        <f>IF(Granger_Inventory[[#This Row],[bldg_style]]="",0,Lookups!$B$2)</f>
        <v>29703.559000000001</v>
      </c>
      <c r="BJ364" s="8">
        <f>_xlfn.IFNA(VLOOKUP(Granger_Inventory[[#This Row],[quality]],Lookups!$H$2:$J$14,3,FALSE),0)</f>
        <v>23737.786340274597</v>
      </c>
      <c r="BK364" s="8">
        <f>_xlfn.IFNA(VLOOKUP(Granger_Inventory[[#This Row],[condition]],Lookups!$H$17:$J$24,3,FALSE),0)</f>
        <v>94106</v>
      </c>
      <c r="BL364" s="8">
        <f>Granger_Inventory[[#This Row],[Age]]*Lookups!$B$16</f>
        <v>-19281.792300000001</v>
      </c>
      <c r="BM364" s="8">
        <f>Granger_Inventory[[#This Row],[living_area]]*Lookups!$B$17</f>
        <v>85974.777701999992</v>
      </c>
      <c r="BN364" s="8">
        <f>(Granger_Inventory[[#This Row],[att_gar]]+Granger_Inventory[[#This Row],[blt_gar]])*Lookups!$B$18</f>
        <v>0</v>
      </c>
      <c r="BO364" s="8">
        <f>Granger_Inventory[[#This Row],[Patio]]*Lookups!$B$19</f>
        <v>0</v>
      </c>
      <c r="BP364" s="8">
        <f>SUM(Granger_Inventory[[#This Row],[Intercept]:[Patio_Value]])*Granger_Inventory[[#This Row],[res_pct]]</f>
        <v>214240.33074227459</v>
      </c>
      <c r="BQ364" s="8">
        <f>Granger_Inventory[[#This Row],[land_value]]</f>
        <v>38117.316977869523</v>
      </c>
      <c r="BR364" s="4">
        <f>_xlfn.IFNA(VLOOKUP(Granger_Inventory[[#This Row],[quality]],Lookups!$A$25:$C$35,3,FALSE),1)</f>
        <v>0.77695375541795109</v>
      </c>
      <c r="BS364" s="4">
        <f>_xlfn.IFNA(VLOOKUP(Granger_Inventory[[#This Row],[condition]],Lookups!$A$38:$C$45,3,FALSE),1)</f>
        <v>0.98658583151544277</v>
      </c>
      <c r="BT364" s="4">
        <f>IF(Granger_Inventory[[#This Row],[decade]]="",1,_xlfn.IFNA(VLOOKUP(Granger_Inventory[[#This Row],[decade]],Lookups!$G$28:$I$42,3,FALSE),1))</f>
        <v>0.879441629375324</v>
      </c>
      <c r="BU364" s="4">
        <f>_xlfn.IFNA(VLOOKUP(Granger_Inventory[[#This Row],[living_area_range]],Lookups!$A$48:$C$57,3,FALSE),1)</f>
        <v>0.97960506760539345</v>
      </c>
      <c r="BV364" s="4">
        <f>AVERAGE(Granger_Inventory[[#This Row],[qual_adj]:[living_range_adj]])</f>
        <v>0.90564657097852785</v>
      </c>
      <c r="BW364" s="8">
        <f>(Granger_Inventory[[#This Row],[sum_land]]-IF(Granger_Inventory[[#This Row],[no_utilities]]=1,12000,0))/IF(Granger_Inventory[[#This Row],[unbuildable]]=1,2,1)</f>
        <v>38117.316977869523</v>
      </c>
      <c r="BX364" s="8">
        <f>Granger_Inventory[[#This Row],[pre_res]]*Granger_Inventory[[#This Row],[overall_adj]]</f>
        <v>194026.02090204667</v>
      </c>
      <c r="BY364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364">
        <f>ROUND(Granger_Inventory[[#This Row],[detatched_value]]*Lookups!$I$45,-2)</f>
        <v>17100</v>
      </c>
      <c r="CA364">
        <f>IF(ROUND(Granger_Inventory[[#This Row],[adj_res]]*Lookups!$I$45,-2)&lt;Granger_Inventory[[#This Row],[min_res]],Granger_Inventory[[#This Row],[min_res]],ROUND(Granger_Inventory[[#This Row],[adj_res]]*Lookups!$I$45,-2))</f>
        <v>184300</v>
      </c>
      <c r="CB364">
        <f>Granger_Inventory[[#This Row],[final_det]]+Granger_Inventory[[#This Row],[final_res]]</f>
        <v>201400</v>
      </c>
      <c r="CC364">
        <f>Granger_Inventory[[#This Row],[final_land]]+Granger_Inventory[[#This Row],[final_imp]]+Granger_Inventory[[#This Row],[crop_value]]</f>
        <v>237600</v>
      </c>
      <c r="CE364" t="str">
        <f t="shared" si="5"/>
        <v>update valuation set market_land =36200, market_bldg=201400, market_total =237600, market_mdno =402, market_date ='9/10/2023' where link_id = (select link_id from parcel where parcel_year = '2024' and parcel_id = '21102113458');</v>
      </c>
    </row>
    <row r="365" spans="1:83" x14ac:dyDescent="0.25">
      <c r="A365">
        <v>21102113459</v>
      </c>
      <c r="B365">
        <v>0.14000000000000001</v>
      </c>
      <c r="C365">
        <v>5882</v>
      </c>
      <c r="D365" t="s">
        <v>137</v>
      </c>
      <c r="E365" t="s">
        <v>54</v>
      </c>
      <c r="F365" t="s">
        <v>54</v>
      </c>
      <c r="G365">
        <v>3</v>
      </c>
      <c r="H365" t="s">
        <v>55</v>
      </c>
      <c r="I365">
        <v>218800</v>
      </c>
      <c r="J365">
        <v>25900</v>
      </c>
      <c r="K365">
        <v>0.14000000000000001</v>
      </c>
      <c r="L365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5">
        <v>0</v>
      </c>
      <c r="N365">
        <v>0</v>
      </c>
      <c r="O365">
        <v>0</v>
      </c>
      <c r="P365">
        <v>47108.068500000001</v>
      </c>
      <c r="Q365">
        <v>122298</v>
      </c>
      <c r="R365">
        <f>(Granger_Inventory[[#This Row],[ln_acres]]*Granger_Inventory[[#This Row],[coeff]])+Granger_Inventory[[#This Row],[const]]</f>
        <v>29678.220883257934</v>
      </c>
      <c r="S365" t="s">
        <v>62</v>
      </c>
      <c r="T365">
        <v>2</v>
      </c>
      <c r="U365" t="s">
        <v>64</v>
      </c>
      <c r="V365" t="s">
        <v>77</v>
      </c>
      <c r="W365">
        <v>0</v>
      </c>
      <c r="X365">
        <v>0</v>
      </c>
      <c r="Y365">
        <v>70</v>
      </c>
      <c r="Z365">
        <v>118</v>
      </c>
      <c r="AA365">
        <v>120</v>
      </c>
      <c r="AB365">
        <v>2500</v>
      </c>
      <c r="AC365">
        <v>2361</v>
      </c>
      <c r="AD365">
        <v>1581</v>
      </c>
      <c r="AE365">
        <v>780</v>
      </c>
      <c r="AF365">
        <v>0</v>
      </c>
      <c r="AG365">
        <v>0</v>
      </c>
      <c r="AH365">
        <v>650</v>
      </c>
      <c r="AI365">
        <v>0</v>
      </c>
      <c r="AJ365">
        <v>0</v>
      </c>
      <c r="AK365">
        <v>0</v>
      </c>
      <c r="AL365">
        <v>160</v>
      </c>
      <c r="AM365">
        <v>0</v>
      </c>
      <c r="AN365">
        <v>160</v>
      </c>
      <c r="AO365">
        <v>96</v>
      </c>
      <c r="AP365">
        <v>8</v>
      </c>
      <c r="AQ365">
        <v>1</v>
      </c>
      <c r="AR365">
        <v>0</v>
      </c>
      <c r="AS365" t="s">
        <v>141</v>
      </c>
      <c r="AT365">
        <v>1</v>
      </c>
      <c r="AU365" t="s">
        <v>60</v>
      </c>
      <c r="AV365" t="s">
        <v>61</v>
      </c>
      <c r="AW365">
        <v>1</v>
      </c>
      <c r="AX365">
        <v>3</v>
      </c>
      <c r="AY365">
        <v>0</v>
      </c>
      <c r="AZ365">
        <v>2200</v>
      </c>
      <c r="BA365">
        <v>100</v>
      </c>
      <c r="BB365">
        <v>100</v>
      </c>
      <c r="BC365">
        <v>100</v>
      </c>
      <c r="BD365">
        <v>100</v>
      </c>
      <c r="BE365">
        <v>1</v>
      </c>
      <c r="BF365">
        <v>15000</v>
      </c>
      <c r="BG365">
        <v>1000</v>
      </c>
      <c r="BH365" s="8">
        <f>Granger_Inventory[[#This Row],[land_extract]]*Lookups!$B$3</f>
        <v>17680.230269359956</v>
      </c>
      <c r="BI365" s="8">
        <f>IF(Granger_Inventory[[#This Row],[bldg_style]]="",0,Lookups!$B$2)</f>
        <v>29703.559000000001</v>
      </c>
      <c r="BJ365" s="8">
        <f>_xlfn.IFNA(VLOOKUP(Granger_Inventory[[#This Row],[quality]],Lookups!$H$2:$J$14,3,FALSE),0)</f>
        <v>36568</v>
      </c>
      <c r="BK365" s="8">
        <f>_xlfn.IFNA(VLOOKUP(Granger_Inventory[[#This Row],[condition]],Lookups!$H$17:$J$24,3,FALSE),0)</f>
        <v>33736</v>
      </c>
      <c r="BL365" s="8">
        <f>Granger_Inventory[[#This Row],[Age]]*Lookups!$B$16</f>
        <v>-24465.069799999997</v>
      </c>
      <c r="BM365" s="8">
        <f>Granger_Inventory[[#This Row],[living_area]]*Lookups!$B$17</f>
        <v>158831.33814899999</v>
      </c>
      <c r="BN365" s="8">
        <f>(Granger_Inventory[[#This Row],[att_gar]]+Granger_Inventory[[#This Row],[blt_gar]])*Lookups!$B$18</f>
        <v>0</v>
      </c>
      <c r="BO365" s="8">
        <f>Granger_Inventory[[#This Row],[Patio]]*Lookups!$B$19</f>
        <v>0</v>
      </c>
      <c r="BP365" s="8">
        <f>SUM(Granger_Inventory[[#This Row],[Intercept]:[Patio_Value]])*Granger_Inventory[[#This Row],[res_pct]]</f>
        <v>234373.827349</v>
      </c>
      <c r="BQ365" s="8">
        <f>Granger_Inventory[[#This Row],[land_value]]</f>
        <v>17680.230269359956</v>
      </c>
      <c r="BR365" s="4">
        <f>_xlfn.IFNA(VLOOKUP(Granger_Inventory[[#This Row],[quality]],Lookups!$A$25:$C$35,3,FALSE),1)</f>
        <v>0.99049976351917957</v>
      </c>
      <c r="BS365" s="4">
        <f>_xlfn.IFNA(VLOOKUP(Granger_Inventory[[#This Row],[condition]],Lookups!$A$38:$C$45,3,FALSE),1)</f>
        <v>0.92294678898076177</v>
      </c>
      <c r="BT365" s="4">
        <f>IF(Granger_Inventory[[#This Row],[decade]]="",1,_xlfn.IFNA(VLOOKUP(Granger_Inventory[[#This Row],[decade]],Lookups!$G$28:$I$42,3,FALSE),1))</f>
        <v>0.879441629375324</v>
      </c>
      <c r="BU365" s="4">
        <f>_xlfn.IFNA(VLOOKUP(Granger_Inventory[[#This Row],[living_area_range]],Lookups!$A$48:$C$57,3,FALSE),1)</f>
        <v>1.0000039906678986</v>
      </c>
      <c r="BV365" s="4">
        <f>AVERAGE(Granger_Inventory[[#This Row],[qual_adj]:[living_range_adj]])</f>
        <v>0.94822304313579098</v>
      </c>
      <c r="BW365" s="8">
        <f>(Granger_Inventory[[#This Row],[sum_land]]-IF(Granger_Inventory[[#This Row],[no_utilities]]=1,12000,0))/IF(Granger_Inventory[[#This Row],[unbuildable]]=1,2,1)</f>
        <v>17680.230269359956</v>
      </c>
      <c r="BX365" s="8">
        <f>Granger_Inventory[[#This Row],[pre_res]]*Granger_Inventory[[#This Row],[overall_adj]]</f>
        <v>222238.66380025126</v>
      </c>
      <c r="BY365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5">
        <f>ROUND(Granger_Inventory[[#This Row],[detatched_value]]*Lookups!$I$45,-2)</f>
        <v>2100</v>
      </c>
      <c r="CA365">
        <f>IF(ROUND(Granger_Inventory[[#This Row],[adj_res]]*Lookups!$I$45,-2)&lt;Granger_Inventory[[#This Row],[min_res]],Granger_Inventory[[#This Row],[min_res]],ROUND(Granger_Inventory[[#This Row],[adj_res]]*Lookups!$I$45,-2))</f>
        <v>211100</v>
      </c>
      <c r="CB365">
        <f>Granger_Inventory[[#This Row],[final_det]]+Granger_Inventory[[#This Row],[final_res]]</f>
        <v>213200</v>
      </c>
      <c r="CC365">
        <f>Granger_Inventory[[#This Row],[final_land]]+Granger_Inventory[[#This Row],[final_imp]]+Granger_Inventory[[#This Row],[crop_value]]</f>
        <v>230000</v>
      </c>
      <c r="CE365" t="str">
        <f t="shared" si="5"/>
        <v>update valuation set market_land =16800, market_bldg=213200, market_total =230000, market_mdno =402, market_date ='9/10/2023' where link_id = (select link_id from parcel where parcel_year = '2024' and parcel_id = '21102113459');</v>
      </c>
    </row>
    <row r="366" spans="1:83" x14ac:dyDescent="0.25">
      <c r="A366">
        <v>21102113460</v>
      </c>
      <c r="B366">
        <v>0.14000000000000001</v>
      </c>
      <c r="C366">
        <v>5904</v>
      </c>
      <c r="D366" t="s">
        <v>137</v>
      </c>
      <c r="E366" t="s">
        <v>54</v>
      </c>
      <c r="F366" t="s">
        <v>54</v>
      </c>
      <c r="G366">
        <v>3</v>
      </c>
      <c r="H366" t="s">
        <v>55</v>
      </c>
      <c r="I366">
        <v>122900</v>
      </c>
      <c r="J366">
        <v>25900</v>
      </c>
      <c r="K366">
        <v>0.14000000000000001</v>
      </c>
      <c r="L36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6">
        <v>0</v>
      </c>
      <c r="N366">
        <v>0</v>
      </c>
      <c r="O366">
        <v>0</v>
      </c>
      <c r="P366">
        <v>47108.068500000001</v>
      </c>
      <c r="Q366">
        <v>122298</v>
      </c>
      <c r="R366">
        <f>(Granger_Inventory[[#This Row],[ln_acres]]*Granger_Inventory[[#This Row],[coeff]])+Granger_Inventory[[#This Row],[const]]</f>
        <v>29678.220883257934</v>
      </c>
      <c r="S366" t="s">
        <v>69</v>
      </c>
      <c r="T366">
        <v>1</v>
      </c>
      <c r="U366" t="s">
        <v>78</v>
      </c>
      <c r="V366" t="s">
        <v>77</v>
      </c>
      <c r="W366">
        <v>0</v>
      </c>
      <c r="X366">
        <v>0</v>
      </c>
      <c r="Y366">
        <v>50</v>
      </c>
      <c r="Z366">
        <v>73</v>
      </c>
      <c r="AA366">
        <v>80</v>
      </c>
      <c r="AB366">
        <v>2000</v>
      </c>
      <c r="AC366">
        <v>1532</v>
      </c>
      <c r="AD366">
        <v>1532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204</v>
      </c>
      <c r="AN366">
        <v>70</v>
      </c>
      <c r="AO366">
        <v>60</v>
      </c>
      <c r="AP366">
        <v>6</v>
      </c>
      <c r="AQ366">
        <v>0</v>
      </c>
      <c r="AR366">
        <v>0</v>
      </c>
      <c r="AS366" t="s">
        <v>59</v>
      </c>
      <c r="AT366">
        <v>1</v>
      </c>
      <c r="AU366" t="s">
        <v>76</v>
      </c>
      <c r="AV366" t="s">
        <v>65</v>
      </c>
      <c r="AW366">
        <v>0</v>
      </c>
      <c r="AX366">
        <v>3</v>
      </c>
      <c r="AY366">
        <v>0</v>
      </c>
      <c r="AZ366">
        <v>0</v>
      </c>
      <c r="BA366">
        <v>100</v>
      </c>
      <c r="BB366">
        <v>100</v>
      </c>
      <c r="BC366">
        <v>100</v>
      </c>
      <c r="BD366">
        <v>100</v>
      </c>
      <c r="BE366">
        <v>1</v>
      </c>
      <c r="BF366">
        <v>15000</v>
      </c>
      <c r="BG366">
        <v>1000</v>
      </c>
      <c r="BH366" s="8">
        <f>Granger_Inventory[[#This Row],[land_extract]]*Lookups!$B$3</f>
        <v>17680.230269359956</v>
      </c>
      <c r="BI366" s="8">
        <f>IF(Granger_Inventory[[#This Row],[bldg_style]]="",0,Lookups!$B$2)</f>
        <v>29703.559000000001</v>
      </c>
      <c r="BJ366" s="8">
        <f>_xlfn.IFNA(VLOOKUP(Granger_Inventory[[#This Row],[quality]],Lookups!$H$2:$J$14,3,FALSE),0)</f>
        <v>23737.786340274597</v>
      </c>
      <c r="BK366" s="8">
        <f>_xlfn.IFNA(VLOOKUP(Granger_Inventory[[#This Row],[condition]],Lookups!$H$17:$J$24,3,FALSE),0)</f>
        <v>33736</v>
      </c>
      <c r="BL366" s="8">
        <f>Granger_Inventory[[#This Row],[Age]]*Lookups!$B$16</f>
        <v>-15135.1703</v>
      </c>
      <c r="BM366" s="8">
        <f>Granger_Inventory[[#This Row],[living_area]]*Lookups!$B$17</f>
        <v>103062.096588</v>
      </c>
      <c r="BN366" s="8">
        <f>(Granger_Inventory[[#This Row],[att_gar]]+Granger_Inventory[[#This Row],[blt_gar]])*Lookups!$B$18</f>
        <v>0</v>
      </c>
      <c r="BO366" s="8">
        <f>Granger_Inventory[[#This Row],[Patio]]*Lookups!$B$19</f>
        <v>11080.279584</v>
      </c>
      <c r="BP366" s="8">
        <f>SUM(Granger_Inventory[[#This Row],[Intercept]:[Patio_Value]])*Granger_Inventory[[#This Row],[res_pct]]</f>
        <v>186184.55121227459</v>
      </c>
      <c r="BQ366" s="8">
        <f>Granger_Inventory[[#This Row],[land_value]]</f>
        <v>17680.230269359956</v>
      </c>
      <c r="BR366" s="4">
        <f>_xlfn.IFNA(VLOOKUP(Granger_Inventory[[#This Row],[quality]],Lookups!$A$25:$C$35,3,FALSE),1)</f>
        <v>0.77695375541795109</v>
      </c>
      <c r="BS366" s="4">
        <f>_xlfn.IFNA(VLOOKUP(Granger_Inventory[[#This Row],[condition]],Lookups!$A$38:$C$45,3,FALSE),1)</f>
        <v>0.92294678898076177</v>
      </c>
      <c r="BT366" s="4">
        <f>IF(Granger_Inventory[[#This Row],[decade]]="",1,_xlfn.IFNA(VLOOKUP(Granger_Inventory[[#This Row],[decade]],Lookups!$G$28:$I$42,3,FALSE),1))</f>
        <v>0.76006056002554967</v>
      </c>
      <c r="BU366" s="4">
        <f>_xlfn.IFNA(VLOOKUP(Granger_Inventory[[#This Row],[living_area_range]],Lookups!$A$48:$C$57,3,FALSE),1)</f>
        <v>0.97860968051050168</v>
      </c>
      <c r="BV366" s="4">
        <f>AVERAGE(Granger_Inventory[[#This Row],[qual_adj]:[living_range_adj]])</f>
        <v>0.85964269623369105</v>
      </c>
      <c r="BW366" s="8">
        <f>(Granger_Inventory[[#This Row],[sum_land]]-IF(Granger_Inventory[[#This Row],[no_utilities]]=1,12000,0))/IF(Granger_Inventory[[#This Row],[unbuildable]]=1,2,1)</f>
        <v>17680.230269359956</v>
      </c>
      <c r="BX366" s="8">
        <f>Granger_Inventory[[#This Row],[pre_res]]*Granger_Inventory[[#This Row],[overall_adj]]</f>
        <v>160052.18960117945</v>
      </c>
      <c r="BY36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6">
        <f>ROUND(Granger_Inventory[[#This Row],[detatched_value]]*Lookups!$I$45,-2)</f>
        <v>0</v>
      </c>
      <c r="CA366">
        <f>IF(ROUND(Granger_Inventory[[#This Row],[adj_res]]*Lookups!$I$45,-2)&lt;Granger_Inventory[[#This Row],[min_res]],Granger_Inventory[[#This Row],[min_res]],ROUND(Granger_Inventory[[#This Row],[adj_res]]*Lookups!$I$45,-2))</f>
        <v>152000</v>
      </c>
      <c r="CB366">
        <f>Granger_Inventory[[#This Row],[final_det]]+Granger_Inventory[[#This Row],[final_res]]</f>
        <v>152000</v>
      </c>
      <c r="CC366">
        <f>Granger_Inventory[[#This Row],[final_land]]+Granger_Inventory[[#This Row],[final_imp]]+Granger_Inventory[[#This Row],[crop_value]]</f>
        <v>168800</v>
      </c>
      <c r="CE366" t="str">
        <f t="shared" si="5"/>
        <v>update valuation set market_land =16800, market_bldg=152000, market_total =168800, market_mdno =402, market_date ='9/10/2023' where link_id = (select link_id from parcel where parcel_year = '2024' and parcel_id = '21102113460');</v>
      </c>
    </row>
    <row r="367" spans="1:83" x14ac:dyDescent="0.25">
      <c r="A367">
        <v>21102113461</v>
      </c>
      <c r="B367">
        <v>0.14000000000000001</v>
      </c>
      <c r="C367">
        <v>5925</v>
      </c>
      <c r="D367" t="s">
        <v>137</v>
      </c>
      <c r="E367" t="s">
        <v>54</v>
      </c>
      <c r="F367" t="s">
        <v>54</v>
      </c>
      <c r="G367">
        <v>3</v>
      </c>
      <c r="H367" t="s">
        <v>55</v>
      </c>
      <c r="I367">
        <v>164200</v>
      </c>
      <c r="J367">
        <v>25900</v>
      </c>
      <c r="K367">
        <v>0.14000000000000001</v>
      </c>
      <c r="L367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7">
        <v>0</v>
      </c>
      <c r="N367">
        <v>0</v>
      </c>
      <c r="O367">
        <v>0</v>
      </c>
      <c r="P367">
        <v>47108.068500000001</v>
      </c>
      <c r="Q367">
        <v>122298</v>
      </c>
      <c r="R367">
        <f>(Granger_Inventory[[#This Row],[ln_acres]]*Granger_Inventory[[#This Row],[coeff]])+Granger_Inventory[[#This Row],[const]]</f>
        <v>29678.220883257934</v>
      </c>
      <c r="S367" t="s">
        <v>69</v>
      </c>
      <c r="T367">
        <v>1</v>
      </c>
      <c r="U367" t="s">
        <v>71</v>
      </c>
      <c r="V367" t="s">
        <v>72</v>
      </c>
      <c r="W367">
        <v>0</v>
      </c>
      <c r="X367">
        <v>0</v>
      </c>
      <c r="Y367">
        <v>57</v>
      </c>
      <c r="Z367">
        <v>103</v>
      </c>
      <c r="AA367">
        <v>110</v>
      </c>
      <c r="AB367">
        <v>1500</v>
      </c>
      <c r="AC367">
        <v>1076</v>
      </c>
      <c r="AD367">
        <v>1076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24</v>
      </c>
      <c r="AO367">
        <v>0</v>
      </c>
      <c r="AP367">
        <v>8</v>
      </c>
      <c r="AQ367">
        <v>0</v>
      </c>
      <c r="AR367">
        <v>0</v>
      </c>
      <c r="AS367" t="s">
        <v>59</v>
      </c>
      <c r="AT367">
        <v>1</v>
      </c>
      <c r="AU367" t="s">
        <v>68</v>
      </c>
      <c r="AV367" t="s">
        <v>65</v>
      </c>
      <c r="AW367">
        <v>0</v>
      </c>
      <c r="AX367">
        <v>3</v>
      </c>
      <c r="AY367">
        <v>0</v>
      </c>
      <c r="AZ367">
        <v>0</v>
      </c>
      <c r="BA367">
        <v>100</v>
      </c>
      <c r="BB367">
        <v>100</v>
      </c>
      <c r="BC367">
        <v>100</v>
      </c>
      <c r="BD367">
        <v>100</v>
      </c>
      <c r="BE367">
        <v>1</v>
      </c>
      <c r="BF367">
        <v>15000</v>
      </c>
      <c r="BG367">
        <v>1000</v>
      </c>
      <c r="BH367" s="8">
        <f>Granger_Inventory[[#This Row],[land_extract]]*Lookups!$B$3</f>
        <v>17680.230269359956</v>
      </c>
      <c r="BI367" s="8">
        <f>IF(Granger_Inventory[[#This Row],[bldg_style]]="",0,Lookups!$B$2)</f>
        <v>29703.559000000001</v>
      </c>
      <c r="BJ367" s="8">
        <f>_xlfn.IFNA(VLOOKUP(Granger_Inventory[[#This Row],[quality]],Lookups!$H$2:$J$14,3,FALSE),0)</f>
        <v>34195</v>
      </c>
      <c r="BK367" s="8">
        <f>_xlfn.IFNA(VLOOKUP(Granger_Inventory[[#This Row],[condition]],Lookups!$H$17:$J$24,3,FALSE),0)</f>
        <v>94106</v>
      </c>
      <c r="BL367" s="8">
        <f>Granger_Inventory[[#This Row],[Age]]*Lookups!$B$16</f>
        <v>-21355.103299999999</v>
      </c>
      <c r="BM367" s="8">
        <f>Granger_Inventory[[#This Row],[living_area]]*Lookups!$B$17</f>
        <v>72385.650083999994</v>
      </c>
      <c r="BN367" s="8">
        <f>(Granger_Inventory[[#This Row],[att_gar]]+Granger_Inventory[[#This Row],[blt_gar]])*Lookups!$B$18</f>
        <v>0</v>
      </c>
      <c r="BO367" s="8">
        <f>Granger_Inventory[[#This Row],[Patio]]*Lookups!$B$19</f>
        <v>0</v>
      </c>
      <c r="BP367" s="8">
        <f>SUM(Granger_Inventory[[#This Row],[Intercept]:[Patio_Value]])*Granger_Inventory[[#This Row],[res_pct]]</f>
        <v>209035.10578400001</v>
      </c>
      <c r="BQ367" s="8">
        <f>Granger_Inventory[[#This Row],[land_value]]</f>
        <v>17680.230269359956</v>
      </c>
      <c r="BR367" s="4">
        <f>_xlfn.IFNA(VLOOKUP(Granger_Inventory[[#This Row],[quality]],Lookups!$A$25:$C$35,3,FALSE),1)</f>
        <v>0.98258795897788032</v>
      </c>
      <c r="BS367" s="4">
        <f>_xlfn.IFNA(VLOOKUP(Granger_Inventory[[#This Row],[condition]],Lookups!$A$38:$C$45,3,FALSE),1)</f>
        <v>0.98658583151544277</v>
      </c>
      <c r="BT367" s="4">
        <f>IF(Granger_Inventory[[#This Row],[decade]]="",1,_xlfn.IFNA(VLOOKUP(Granger_Inventory[[#This Row],[decade]],Lookups!$G$28:$I$42,3,FALSE),1))</f>
        <v>0.879441629375324</v>
      </c>
      <c r="BU367" s="4">
        <f>_xlfn.IFNA(VLOOKUP(Granger_Inventory[[#This Row],[living_area_range]],Lookups!$A$48:$C$57,3,FALSE),1)</f>
        <v>0.97960506760539345</v>
      </c>
      <c r="BV367" s="4">
        <f>AVERAGE(Granger_Inventory[[#This Row],[qual_adj]:[living_range_adj]])</f>
        <v>0.95705512186851016</v>
      </c>
      <c r="BW367" s="8">
        <f>(Granger_Inventory[[#This Row],[sum_land]]-IF(Granger_Inventory[[#This Row],[no_utilities]]=1,12000,0))/IF(Granger_Inventory[[#This Row],[unbuildable]]=1,2,1)</f>
        <v>17680.230269359956</v>
      </c>
      <c r="BX367" s="8">
        <f>Granger_Inventory[[#This Row],[pre_res]]*Granger_Inventory[[#This Row],[overall_adj]]</f>
        <v>200058.11864090303</v>
      </c>
      <c r="BY367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7">
        <f>ROUND(Granger_Inventory[[#This Row],[detatched_value]]*Lookups!$I$45,-2)</f>
        <v>0</v>
      </c>
      <c r="CA367">
        <f>IF(ROUND(Granger_Inventory[[#This Row],[adj_res]]*Lookups!$I$45,-2)&lt;Granger_Inventory[[#This Row],[min_res]],Granger_Inventory[[#This Row],[min_res]],ROUND(Granger_Inventory[[#This Row],[adj_res]]*Lookups!$I$45,-2))</f>
        <v>190100</v>
      </c>
      <c r="CB367">
        <f>Granger_Inventory[[#This Row],[final_det]]+Granger_Inventory[[#This Row],[final_res]]</f>
        <v>190100</v>
      </c>
      <c r="CC367">
        <f>Granger_Inventory[[#This Row],[final_land]]+Granger_Inventory[[#This Row],[final_imp]]+Granger_Inventory[[#This Row],[crop_value]]</f>
        <v>206900</v>
      </c>
      <c r="CE367" t="str">
        <f t="shared" si="5"/>
        <v>update valuation set market_land =16800, market_bldg=190100, market_total =206900, market_mdno =402, market_date ='9/10/2023' where link_id = (select link_id from parcel where parcel_year = '2024' and parcel_id = '21102113461');</v>
      </c>
    </row>
    <row r="368" spans="1:83" x14ac:dyDescent="0.25">
      <c r="A368">
        <v>21102113462</v>
      </c>
      <c r="B368">
        <v>0.14000000000000001</v>
      </c>
      <c r="C368">
        <v>5947</v>
      </c>
      <c r="D368" t="s">
        <v>137</v>
      </c>
      <c r="E368" t="s">
        <v>54</v>
      </c>
      <c r="F368" t="s">
        <v>54</v>
      </c>
      <c r="G368">
        <v>3</v>
      </c>
      <c r="H368" t="s">
        <v>55</v>
      </c>
      <c r="I368">
        <v>43900</v>
      </c>
      <c r="J368">
        <v>25900</v>
      </c>
      <c r="K368">
        <v>0.14000000000000001</v>
      </c>
      <c r="L36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8">
        <v>0</v>
      </c>
      <c r="N368">
        <v>0</v>
      </c>
      <c r="O368">
        <v>0</v>
      </c>
      <c r="P368">
        <v>47108.068500000001</v>
      </c>
      <c r="Q368">
        <v>122298</v>
      </c>
      <c r="R368">
        <f>(Granger_Inventory[[#This Row],[ln_acres]]*Granger_Inventory[[#This Row],[coeff]])+Granger_Inventory[[#This Row],[const]]</f>
        <v>29678.220883257934</v>
      </c>
      <c r="S368" t="s">
        <v>69</v>
      </c>
      <c r="T368">
        <v>1</v>
      </c>
      <c r="U368" t="s">
        <v>106</v>
      </c>
      <c r="V368" t="s">
        <v>79</v>
      </c>
      <c r="W368">
        <v>0</v>
      </c>
      <c r="X368">
        <v>0</v>
      </c>
      <c r="Y368">
        <v>57</v>
      </c>
      <c r="Z368">
        <v>103</v>
      </c>
      <c r="AA368">
        <v>110</v>
      </c>
      <c r="AB368">
        <v>1500</v>
      </c>
      <c r="AC368">
        <v>1008</v>
      </c>
      <c r="AD368">
        <v>1008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5</v>
      </c>
      <c r="AQ368">
        <v>0</v>
      </c>
      <c r="AR368">
        <v>0</v>
      </c>
      <c r="AS368" t="s">
        <v>59</v>
      </c>
      <c r="AT368">
        <v>1</v>
      </c>
      <c r="AU368" t="s">
        <v>76</v>
      </c>
      <c r="AV368" t="s">
        <v>65</v>
      </c>
      <c r="AW368">
        <v>0</v>
      </c>
      <c r="AX368">
        <v>2</v>
      </c>
      <c r="AY368">
        <v>0</v>
      </c>
      <c r="AZ368">
        <v>0</v>
      </c>
      <c r="BA368">
        <v>100</v>
      </c>
      <c r="BB368">
        <v>100</v>
      </c>
      <c r="BC368">
        <v>100</v>
      </c>
      <c r="BD368">
        <v>100</v>
      </c>
      <c r="BE368">
        <v>1</v>
      </c>
      <c r="BF368">
        <v>15000</v>
      </c>
      <c r="BG368">
        <v>1000</v>
      </c>
      <c r="BH368" s="8">
        <f>Granger_Inventory[[#This Row],[land_extract]]*Lookups!$B$3</f>
        <v>17680.230269359956</v>
      </c>
      <c r="BI368" s="8">
        <f>IF(Granger_Inventory[[#This Row],[bldg_style]]="",0,Lookups!$B$2)</f>
        <v>29703.559000000001</v>
      </c>
      <c r="BJ368" s="8">
        <f>_xlfn.IFNA(VLOOKUP(Granger_Inventory[[#This Row],[quality]],Lookups!$H$2:$J$14,3,FALSE),0)</f>
        <v>17985.540667792327</v>
      </c>
      <c r="BK368" s="8">
        <f>_xlfn.IFNA(VLOOKUP(Granger_Inventory[[#This Row],[condition]],Lookups!$H$17:$J$24,3,FALSE),0)</f>
        <v>86727</v>
      </c>
      <c r="BL368" s="8">
        <f>Granger_Inventory[[#This Row],[Age]]*Lookups!$B$16</f>
        <v>-21355.103299999999</v>
      </c>
      <c r="BM368" s="8">
        <f>Granger_Inventory[[#This Row],[living_area]]*Lookups!$B$17</f>
        <v>67811.092271999994</v>
      </c>
      <c r="BN368" s="8">
        <f>(Granger_Inventory[[#This Row],[att_gar]]+Granger_Inventory[[#This Row],[blt_gar]])*Lookups!$B$18</f>
        <v>0</v>
      </c>
      <c r="BO368" s="8">
        <f>Granger_Inventory[[#This Row],[Patio]]*Lookups!$B$19</f>
        <v>0</v>
      </c>
      <c r="BP368" s="8">
        <f>SUM(Granger_Inventory[[#This Row],[Intercept]:[Patio_Value]])*Granger_Inventory[[#This Row],[res_pct]]</f>
        <v>180872.08863979232</v>
      </c>
      <c r="BQ368" s="8">
        <f>Granger_Inventory[[#This Row],[land_value]]</f>
        <v>17680.230269359956</v>
      </c>
      <c r="BR368" s="4">
        <f>_xlfn.IFNA(VLOOKUP(Granger_Inventory[[#This Row],[quality]],Lookups!$A$25:$C$35,3,FALSE),1)</f>
        <v>0.77695375541795109</v>
      </c>
      <c r="BS368" s="4">
        <f>_xlfn.IFNA(VLOOKUP(Granger_Inventory[[#This Row],[condition]],Lookups!$A$38:$C$45,3,FALSE),1)</f>
        <v>0.85322907131620684</v>
      </c>
      <c r="BT368" s="4">
        <f>IF(Granger_Inventory[[#This Row],[decade]]="",1,_xlfn.IFNA(VLOOKUP(Granger_Inventory[[#This Row],[decade]],Lookups!$G$28:$I$42,3,FALSE),1))</f>
        <v>0.879441629375324</v>
      </c>
      <c r="BU368" s="4">
        <f>_xlfn.IFNA(VLOOKUP(Granger_Inventory[[#This Row],[living_area_range]],Lookups!$A$48:$C$57,3,FALSE),1)</f>
        <v>0.97960506760539345</v>
      </c>
      <c r="BV368" s="4">
        <f>AVERAGE(Granger_Inventory[[#This Row],[qual_adj]:[living_range_adj]])</f>
        <v>0.87230738092871896</v>
      </c>
      <c r="BW368" s="8">
        <f>(Granger_Inventory[[#This Row],[sum_land]]-IF(Granger_Inventory[[#This Row],[no_utilities]]=1,12000,0))/IF(Granger_Inventory[[#This Row],[unbuildable]]=1,2,1)</f>
        <v>17680.230269359956</v>
      </c>
      <c r="BX368" s="8">
        <f>Granger_Inventory[[#This Row],[pre_res]]*Granger_Inventory[[#This Row],[overall_adj]]</f>
        <v>157776.05792448434</v>
      </c>
      <c r="BY36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8">
        <f>ROUND(Granger_Inventory[[#This Row],[detatched_value]]*Lookups!$I$45,-2)</f>
        <v>0</v>
      </c>
      <c r="CA368">
        <f>IF(ROUND(Granger_Inventory[[#This Row],[adj_res]]*Lookups!$I$45,-2)&lt;Granger_Inventory[[#This Row],[min_res]],Granger_Inventory[[#This Row],[min_res]],ROUND(Granger_Inventory[[#This Row],[adj_res]]*Lookups!$I$45,-2))</f>
        <v>149900</v>
      </c>
      <c r="CB368">
        <f>Granger_Inventory[[#This Row],[final_det]]+Granger_Inventory[[#This Row],[final_res]]</f>
        <v>149900</v>
      </c>
      <c r="CC368">
        <f>Granger_Inventory[[#This Row],[final_land]]+Granger_Inventory[[#This Row],[final_imp]]+Granger_Inventory[[#This Row],[crop_value]]</f>
        <v>166700</v>
      </c>
      <c r="CE368" t="str">
        <f t="shared" si="5"/>
        <v>update valuation set market_land =16800, market_bldg=149900, market_total =166700, market_mdno =402, market_date ='9/10/2023' where link_id = (select link_id from parcel where parcel_year = '2024' and parcel_id = '21102113462');</v>
      </c>
    </row>
    <row r="369" spans="1:83" x14ac:dyDescent="0.25">
      <c r="A369">
        <v>21102113463</v>
      </c>
      <c r="B369">
        <v>0.14000000000000001</v>
      </c>
      <c r="C369">
        <v>5968</v>
      </c>
      <c r="D369" t="s">
        <v>137</v>
      </c>
      <c r="E369" t="s">
        <v>54</v>
      </c>
      <c r="F369" t="s">
        <v>54</v>
      </c>
      <c r="G369">
        <v>3</v>
      </c>
      <c r="H369" t="s">
        <v>55</v>
      </c>
      <c r="I369">
        <v>72700</v>
      </c>
      <c r="J369">
        <v>25900</v>
      </c>
      <c r="K369">
        <v>0.14000000000000001</v>
      </c>
      <c r="L36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69">
        <v>0</v>
      </c>
      <c r="N369">
        <v>0</v>
      </c>
      <c r="O369">
        <v>0</v>
      </c>
      <c r="P369">
        <v>47108.068500000001</v>
      </c>
      <c r="Q369">
        <v>122298</v>
      </c>
      <c r="R369">
        <f>(Granger_Inventory[[#This Row],[ln_acres]]*Granger_Inventory[[#This Row],[coeff]])+Granger_Inventory[[#This Row],[const]]</f>
        <v>29678.220883257934</v>
      </c>
      <c r="S369" t="s">
        <v>69</v>
      </c>
      <c r="T369">
        <v>1</v>
      </c>
      <c r="U369" t="s">
        <v>78</v>
      </c>
      <c r="V369" t="s">
        <v>79</v>
      </c>
      <c r="W369">
        <v>0</v>
      </c>
      <c r="X369">
        <v>0</v>
      </c>
      <c r="Y369">
        <v>60</v>
      </c>
      <c r="Z369">
        <v>108</v>
      </c>
      <c r="AA369">
        <v>110</v>
      </c>
      <c r="AB369">
        <v>1500</v>
      </c>
      <c r="AC369">
        <v>1020</v>
      </c>
      <c r="AD369">
        <v>1020</v>
      </c>
      <c r="AE369">
        <v>0</v>
      </c>
      <c r="AF369">
        <v>0</v>
      </c>
      <c r="AG369">
        <v>0</v>
      </c>
      <c r="AH369">
        <v>1020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24</v>
      </c>
      <c r="AO369">
        <v>0</v>
      </c>
      <c r="AP369">
        <v>5</v>
      </c>
      <c r="AQ369">
        <v>0</v>
      </c>
      <c r="AR369">
        <v>0</v>
      </c>
      <c r="AS369" t="s">
        <v>59</v>
      </c>
      <c r="AT369">
        <v>1</v>
      </c>
      <c r="AU369" t="s">
        <v>76</v>
      </c>
      <c r="AV369" t="s">
        <v>65</v>
      </c>
      <c r="AW369">
        <v>0</v>
      </c>
      <c r="AX369">
        <v>2</v>
      </c>
      <c r="AY369">
        <v>0</v>
      </c>
      <c r="AZ369">
        <v>25600</v>
      </c>
      <c r="BA369">
        <v>100</v>
      </c>
      <c r="BB369">
        <v>100</v>
      </c>
      <c r="BC369">
        <v>100</v>
      </c>
      <c r="BD369">
        <v>100</v>
      </c>
      <c r="BE369">
        <v>1</v>
      </c>
      <c r="BF369">
        <v>15000</v>
      </c>
      <c r="BG369">
        <v>1000</v>
      </c>
      <c r="BH369" s="8">
        <f>Granger_Inventory[[#This Row],[land_extract]]*Lookups!$B$3</f>
        <v>17680.230269359956</v>
      </c>
      <c r="BI369" s="8">
        <f>IF(Granger_Inventory[[#This Row],[bldg_style]]="",0,Lookups!$B$2)</f>
        <v>29703.559000000001</v>
      </c>
      <c r="BJ369" s="8">
        <f>_xlfn.IFNA(VLOOKUP(Granger_Inventory[[#This Row],[quality]],Lookups!$H$2:$J$14,3,FALSE),0)</f>
        <v>23737.786340274597</v>
      </c>
      <c r="BK369" s="8">
        <f>_xlfn.IFNA(VLOOKUP(Granger_Inventory[[#This Row],[condition]],Lookups!$H$17:$J$24,3,FALSE),0)</f>
        <v>86727</v>
      </c>
      <c r="BL369" s="8">
        <f>Granger_Inventory[[#This Row],[Age]]*Lookups!$B$16</f>
        <v>-22391.7588</v>
      </c>
      <c r="BM369" s="8">
        <f>Granger_Inventory[[#This Row],[living_area]]*Lookups!$B$17</f>
        <v>68618.367180000001</v>
      </c>
      <c r="BN369" s="8">
        <f>(Granger_Inventory[[#This Row],[att_gar]]+Granger_Inventory[[#This Row],[blt_gar]])*Lookups!$B$18</f>
        <v>0</v>
      </c>
      <c r="BO369" s="8">
        <f>Granger_Inventory[[#This Row],[Patio]]*Lookups!$B$19</f>
        <v>0</v>
      </c>
      <c r="BP369" s="8">
        <f>SUM(Granger_Inventory[[#This Row],[Intercept]:[Patio_Value]])*Granger_Inventory[[#This Row],[res_pct]]</f>
        <v>186394.95372027461</v>
      </c>
      <c r="BQ369" s="8">
        <f>Granger_Inventory[[#This Row],[land_value]]</f>
        <v>17680.230269359956</v>
      </c>
      <c r="BR369" s="4">
        <f>_xlfn.IFNA(VLOOKUP(Granger_Inventory[[#This Row],[quality]],Lookups!$A$25:$C$35,3,FALSE),1)</f>
        <v>0.77695375541795109</v>
      </c>
      <c r="BS369" s="4">
        <f>_xlfn.IFNA(VLOOKUP(Granger_Inventory[[#This Row],[condition]],Lookups!$A$38:$C$45,3,FALSE),1)</f>
        <v>0.85322907131620684</v>
      </c>
      <c r="BT369" s="4">
        <f>IF(Granger_Inventory[[#This Row],[decade]]="",1,_xlfn.IFNA(VLOOKUP(Granger_Inventory[[#This Row],[decade]],Lookups!$G$28:$I$42,3,FALSE),1))</f>
        <v>0.879441629375324</v>
      </c>
      <c r="BU369" s="4">
        <f>_xlfn.IFNA(VLOOKUP(Granger_Inventory[[#This Row],[living_area_range]],Lookups!$A$48:$C$57,3,FALSE),1)</f>
        <v>0.97960506760539345</v>
      </c>
      <c r="BV369" s="4">
        <f>AVERAGE(Granger_Inventory[[#This Row],[qual_adj]:[living_range_adj]])</f>
        <v>0.87230738092871896</v>
      </c>
      <c r="BW369" s="8">
        <f>(Granger_Inventory[[#This Row],[sum_land]]-IF(Granger_Inventory[[#This Row],[no_utilities]]=1,12000,0))/IF(Granger_Inventory[[#This Row],[unbuildable]]=1,2,1)</f>
        <v>17680.230269359956</v>
      </c>
      <c r="BX369" s="8">
        <f>Granger_Inventory[[#This Row],[pre_res]]*Granger_Inventory[[#This Row],[overall_adj]]</f>
        <v>162593.69389806254</v>
      </c>
      <c r="BY36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69">
        <f>ROUND(Granger_Inventory[[#This Row],[detatched_value]]*Lookups!$I$45,-2)</f>
        <v>24300</v>
      </c>
      <c r="CA369">
        <f>IF(ROUND(Granger_Inventory[[#This Row],[adj_res]]*Lookups!$I$45,-2)&lt;Granger_Inventory[[#This Row],[min_res]],Granger_Inventory[[#This Row],[min_res]],ROUND(Granger_Inventory[[#This Row],[adj_res]]*Lookups!$I$45,-2))</f>
        <v>154500</v>
      </c>
      <c r="CB369">
        <f>Granger_Inventory[[#This Row],[final_det]]+Granger_Inventory[[#This Row],[final_res]]</f>
        <v>178800</v>
      </c>
      <c r="CC369">
        <f>Granger_Inventory[[#This Row],[final_land]]+Granger_Inventory[[#This Row],[final_imp]]+Granger_Inventory[[#This Row],[crop_value]]</f>
        <v>195600</v>
      </c>
      <c r="CE369" t="str">
        <f t="shared" si="5"/>
        <v>update valuation set market_land =16800, market_bldg=178800, market_total =195600, market_mdno =402, market_date ='9/10/2023' where link_id = (select link_id from parcel where parcel_year = '2024' and parcel_id = '21102113463');</v>
      </c>
    </row>
    <row r="370" spans="1:83" x14ac:dyDescent="0.25">
      <c r="A370">
        <v>21102113464</v>
      </c>
      <c r="B370">
        <v>0.14000000000000001</v>
      </c>
      <c r="C370">
        <v>5989</v>
      </c>
      <c r="D370" t="s">
        <v>137</v>
      </c>
      <c r="E370" t="s">
        <v>54</v>
      </c>
      <c r="F370" t="s">
        <v>54</v>
      </c>
      <c r="G370">
        <v>3</v>
      </c>
      <c r="H370" t="s">
        <v>55</v>
      </c>
      <c r="I370">
        <v>120300</v>
      </c>
      <c r="J370">
        <v>25900</v>
      </c>
      <c r="K370">
        <v>0.14000000000000001</v>
      </c>
      <c r="L37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70">
        <v>0</v>
      </c>
      <c r="N370">
        <v>0</v>
      </c>
      <c r="O370">
        <v>0</v>
      </c>
      <c r="P370">
        <v>47108.068500000001</v>
      </c>
      <c r="Q370">
        <v>122298</v>
      </c>
      <c r="R370">
        <f>(Granger_Inventory[[#This Row],[ln_acres]]*Granger_Inventory[[#This Row],[coeff]])+Granger_Inventory[[#This Row],[const]]</f>
        <v>29678.220883257934</v>
      </c>
      <c r="S370" t="s">
        <v>66</v>
      </c>
      <c r="T370">
        <v>1</v>
      </c>
      <c r="U370" t="s">
        <v>78</v>
      </c>
      <c r="V370" t="s">
        <v>77</v>
      </c>
      <c r="W370">
        <v>0</v>
      </c>
      <c r="X370">
        <v>0</v>
      </c>
      <c r="Y370">
        <v>57</v>
      </c>
      <c r="Z370">
        <v>103</v>
      </c>
      <c r="AA370">
        <v>110</v>
      </c>
      <c r="AB370">
        <v>1500</v>
      </c>
      <c r="AC370">
        <v>1452</v>
      </c>
      <c r="AD370">
        <v>1164</v>
      </c>
      <c r="AE370">
        <v>0</v>
      </c>
      <c r="AF370">
        <v>0</v>
      </c>
      <c r="AG370">
        <v>288</v>
      </c>
      <c r="AH370">
        <v>288</v>
      </c>
      <c r="AI370">
        <v>0</v>
      </c>
      <c r="AJ370">
        <v>0</v>
      </c>
      <c r="AK370">
        <v>0</v>
      </c>
      <c r="AL370">
        <v>0</v>
      </c>
      <c r="AM370">
        <v>240</v>
      </c>
      <c r="AN370">
        <v>0</v>
      </c>
      <c r="AO370">
        <v>240</v>
      </c>
      <c r="AP370">
        <v>5</v>
      </c>
      <c r="AQ370">
        <v>1</v>
      </c>
      <c r="AR370">
        <v>0</v>
      </c>
      <c r="AS370" t="s">
        <v>59</v>
      </c>
      <c r="AT370">
        <v>1</v>
      </c>
      <c r="AU370" t="s">
        <v>76</v>
      </c>
      <c r="AV370" t="s">
        <v>65</v>
      </c>
      <c r="AW370">
        <v>0</v>
      </c>
      <c r="AX370">
        <v>2</v>
      </c>
      <c r="AY370">
        <v>0</v>
      </c>
      <c r="AZ370">
        <v>23200</v>
      </c>
      <c r="BA370">
        <v>100</v>
      </c>
      <c r="BB370">
        <v>100</v>
      </c>
      <c r="BC370">
        <v>100</v>
      </c>
      <c r="BD370">
        <v>100</v>
      </c>
      <c r="BE370">
        <v>1</v>
      </c>
      <c r="BF370">
        <v>15000</v>
      </c>
      <c r="BG370">
        <v>1000</v>
      </c>
      <c r="BH370" s="8">
        <f>Granger_Inventory[[#This Row],[land_extract]]*Lookups!$B$3</f>
        <v>17680.230269359956</v>
      </c>
      <c r="BI370" s="8">
        <f>IF(Granger_Inventory[[#This Row],[bldg_style]]="",0,Lookups!$B$2)</f>
        <v>29703.559000000001</v>
      </c>
      <c r="BJ370" s="8">
        <f>_xlfn.IFNA(VLOOKUP(Granger_Inventory[[#This Row],[quality]],Lookups!$H$2:$J$14,3,FALSE),0)</f>
        <v>23737.786340274597</v>
      </c>
      <c r="BK370" s="8">
        <f>_xlfn.IFNA(VLOOKUP(Granger_Inventory[[#This Row],[condition]],Lookups!$H$17:$J$24,3,FALSE),0)</f>
        <v>33736</v>
      </c>
      <c r="BL370" s="8">
        <f>Granger_Inventory[[#This Row],[Age]]*Lookups!$B$16</f>
        <v>-21355.103299999999</v>
      </c>
      <c r="BM370" s="8">
        <f>Granger_Inventory[[#This Row],[living_area]]*Lookups!$B$17</f>
        <v>97680.263867999995</v>
      </c>
      <c r="BN370" s="8">
        <f>(Granger_Inventory[[#This Row],[att_gar]]+Granger_Inventory[[#This Row],[blt_gar]])*Lookups!$B$18</f>
        <v>0</v>
      </c>
      <c r="BO370" s="8">
        <f>Granger_Inventory[[#This Row],[Patio]]*Lookups!$B$19</f>
        <v>13035.623039999999</v>
      </c>
      <c r="BP370" s="8">
        <f>SUM(Granger_Inventory[[#This Row],[Intercept]:[Patio_Value]])*Granger_Inventory[[#This Row],[res_pct]]</f>
        <v>176538.12894827459</v>
      </c>
      <c r="BQ370" s="8">
        <f>Granger_Inventory[[#This Row],[land_value]]</f>
        <v>17680.230269359956</v>
      </c>
      <c r="BR370" s="4">
        <f>_xlfn.IFNA(VLOOKUP(Granger_Inventory[[#This Row],[quality]],Lookups!$A$25:$C$35,3,FALSE),1)</f>
        <v>0.77695375541795109</v>
      </c>
      <c r="BS370" s="4">
        <f>_xlfn.IFNA(VLOOKUP(Granger_Inventory[[#This Row],[condition]],Lookups!$A$38:$C$45,3,FALSE),1)</f>
        <v>0.92294678898076177</v>
      </c>
      <c r="BT370" s="4">
        <f>IF(Granger_Inventory[[#This Row],[decade]]="",1,_xlfn.IFNA(VLOOKUP(Granger_Inventory[[#This Row],[decade]],Lookups!$G$28:$I$42,3,FALSE),1))</f>
        <v>0.879441629375324</v>
      </c>
      <c r="BU370" s="4">
        <f>_xlfn.IFNA(VLOOKUP(Granger_Inventory[[#This Row],[living_area_range]],Lookups!$A$48:$C$57,3,FALSE),1)</f>
        <v>0.97960506760539345</v>
      </c>
      <c r="BV370" s="4">
        <f>AVERAGE(Granger_Inventory[[#This Row],[qual_adj]:[living_range_adj]])</f>
        <v>0.88973681034485752</v>
      </c>
      <c r="BW370" s="8">
        <f>(Granger_Inventory[[#This Row],[sum_land]]-IF(Granger_Inventory[[#This Row],[no_utilities]]=1,12000,0))/IF(Granger_Inventory[[#This Row],[unbuildable]]=1,2,1)</f>
        <v>17680.230269359956</v>
      </c>
      <c r="BX370" s="8">
        <f>Granger_Inventory[[#This Row],[pre_res]]*Granger_Inventory[[#This Row],[overall_adj]]</f>
        <v>157072.47175468699</v>
      </c>
      <c r="BY37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70">
        <f>ROUND(Granger_Inventory[[#This Row],[detatched_value]]*Lookups!$I$45,-2)</f>
        <v>22000</v>
      </c>
      <c r="CA370">
        <f>IF(ROUND(Granger_Inventory[[#This Row],[adj_res]]*Lookups!$I$45,-2)&lt;Granger_Inventory[[#This Row],[min_res]],Granger_Inventory[[#This Row],[min_res]],ROUND(Granger_Inventory[[#This Row],[adj_res]]*Lookups!$I$45,-2))</f>
        <v>149200</v>
      </c>
      <c r="CB370">
        <f>Granger_Inventory[[#This Row],[final_det]]+Granger_Inventory[[#This Row],[final_res]]</f>
        <v>171200</v>
      </c>
      <c r="CC370">
        <f>Granger_Inventory[[#This Row],[final_land]]+Granger_Inventory[[#This Row],[final_imp]]+Granger_Inventory[[#This Row],[crop_value]]</f>
        <v>188000</v>
      </c>
      <c r="CE370" t="str">
        <f t="shared" si="5"/>
        <v>update valuation set market_land =16800, market_bldg=171200, market_total =188000, market_mdno =402, market_date ='9/10/2023' where link_id = (select link_id from parcel where parcel_year = '2024' and parcel_id = '21102113464');</v>
      </c>
    </row>
    <row r="371" spans="1:83" x14ac:dyDescent="0.25">
      <c r="A371">
        <v>21102113465</v>
      </c>
      <c r="B371">
        <v>0.17</v>
      </c>
      <c r="C371">
        <v>7500</v>
      </c>
      <c r="D371" t="s">
        <v>137</v>
      </c>
      <c r="E371" t="s">
        <v>54</v>
      </c>
      <c r="F371" t="s">
        <v>54</v>
      </c>
      <c r="G371">
        <v>3</v>
      </c>
      <c r="H371" t="s">
        <v>55</v>
      </c>
      <c r="I371">
        <v>122200</v>
      </c>
      <c r="J371">
        <v>27100</v>
      </c>
      <c r="K371">
        <v>0.17</v>
      </c>
      <c r="L371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71">
        <v>0</v>
      </c>
      <c r="N371">
        <v>0</v>
      </c>
      <c r="O371">
        <v>0</v>
      </c>
      <c r="P371">
        <v>47108.068500000001</v>
      </c>
      <c r="Q371">
        <v>122298</v>
      </c>
      <c r="R371">
        <f>(Granger_Inventory[[#This Row],[ln_acres]]*Granger_Inventory[[#This Row],[coeff]])+Granger_Inventory[[#This Row],[const]]</f>
        <v>38824.535711229546</v>
      </c>
      <c r="S371" t="s">
        <v>69</v>
      </c>
      <c r="T371">
        <v>1</v>
      </c>
      <c r="U371" t="s">
        <v>71</v>
      </c>
      <c r="V371" t="s">
        <v>77</v>
      </c>
      <c r="W371">
        <v>0</v>
      </c>
      <c r="X371">
        <v>0</v>
      </c>
      <c r="Y371">
        <v>50</v>
      </c>
      <c r="Z371">
        <v>73</v>
      </c>
      <c r="AA371">
        <v>80</v>
      </c>
      <c r="AB371">
        <v>1500</v>
      </c>
      <c r="AC371">
        <v>1360</v>
      </c>
      <c r="AD371">
        <v>1360</v>
      </c>
      <c r="AE371">
        <v>0</v>
      </c>
      <c r="AF371">
        <v>0</v>
      </c>
      <c r="AG371">
        <v>0</v>
      </c>
      <c r="AH371">
        <v>684</v>
      </c>
      <c r="AI371">
        <v>0</v>
      </c>
      <c r="AJ371">
        <v>0</v>
      </c>
      <c r="AK371">
        <v>0</v>
      </c>
      <c r="AL371">
        <v>0</v>
      </c>
      <c r="AM371">
        <v>640</v>
      </c>
      <c r="AN371">
        <v>0</v>
      </c>
      <c r="AO371">
        <v>0</v>
      </c>
      <c r="AP371">
        <v>5</v>
      </c>
      <c r="AQ371">
        <v>1</v>
      </c>
      <c r="AR371">
        <v>0</v>
      </c>
      <c r="AS371" t="s">
        <v>59</v>
      </c>
      <c r="AT371">
        <v>1</v>
      </c>
      <c r="AU371" t="s">
        <v>76</v>
      </c>
      <c r="AV371" t="s">
        <v>65</v>
      </c>
      <c r="AW371">
        <v>0</v>
      </c>
      <c r="AX371">
        <v>2</v>
      </c>
      <c r="AY371">
        <v>0</v>
      </c>
      <c r="AZ371">
        <v>15800</v>
      </c>
      <c r="BA371">
        <v>100</v>
      </c>
      <c r="BB371">
        <v>100</v>
      </c>
      <c r="BC371">
        <v>100</v>
      </c>
      <c r="BD371">
        <v>100</v>
      </c>
      <c r="BE371">
        <v>1</v>
      </c>
      <c r="BF371">
        <v>15000</v>
      </c>
      <c r="BG371">
        <v>1000</v>
      </c>
      <c r="BH371" s="8">
        <f>Granger_Inventory[[#This Row],[land_extract]]*Lookups!$B$3</f>
        <v>23128.971718879347</v>
      </c>
      <c r="BI371" s="8">
        <f>IF(Granger_Inventory[[#This Row],[bldg_style]]="",0,Lookups!$B$2)</f>
        <v>29703.559000000001</v>
      </c>
      <c r="BJ371" s="8">
        <f>_xlfn.IFNA(VLOOKUP(Granger_Inventory[[#This Row],[quality]],Lookups!$H$2:$J$14,3,FALSE),0)</f>
        <v>34195</v>
      </c>
      <c r="BK371" s="8">
        <f>_xlfn.IFNA(VLOOKUP(Granger_Inventory[[#This Row],[condition]],Lookups!$H$17:$J$24,3,FALSE),0)</f>
        <v>33736</v>
      </c>
      <c r="BL371" s="8">
        <f>Granger_Inventory[[#This Row],[Age]]*Lookups!$B$16</f>
        <v>-15135.1703</v>
      </c>
      <c r="BM371" s="8">
        <f>Granger_Inventory[[#This Row],[living_area]]*Lookups!$B$17</f>
        <v>91491.156239999997</v>
      </c>
      <c r="BN371" s="8">
        <f>(Granger_Inventory[[#This Row],[att_gar]]+Granger_Inventory[[#This Row],[blt_gar]])*Lookups!$B$18</f>
        <v>0</v>
      </c>
      <c r="BO371" s="8">
        <f>Granger_Inventory[[#This Row],[Patio]]*Lookups!$B$19</f>
        <v>34761.661439999996</v>
      </c>
      <c r="BP371" s="8">
        <f>SUM(Granger_Inventory[[#This Row],[Intercept]:[Patio_Value]])*Granger_Inventory[[#This Row],[res_pct]]</f>
        <v>208752.20637999999</v>
      </c>
      <c r="BQ371" s="8">
        <f>Granger_Inventory[[#This Row],[land_value]]</f>
        <v>23128.971718879347</v>
      </c>
      <c r="BR371" s="4">
        <f>_xlfn.IFNA(VLOOKUP(Granger_Inventory[[#This Row],[quality]],Lookups!$A$25:$C$35,3,FALSE),1)</f>
        <v>0.98258795897788032</v>
      </c>
      <c r="BS371" s="4">
        <f>_xlfn.IFNA(VLOOKUP(Granger_Inventory[[#This Row],[condition]],Lookups!$A$38:$C$45,3,FALSE),1)</f>
        <v>0.92294678898076177</v>
      </c>
      <c r="BT371" s="4">
        <f>IF(Granger_Inventory[[#This Row],[decade]]="",1,_xlfn.IFNA(VLOOKUP(Granger_Inventory[[#This Row],[decade]],Lookups!$G$28:$I$42,3,FALSE),1))</f>
        <v>0.76006056002554967</v>
      </c>
      <c r="BU371" s="4">
        <f>_xlfn.IFNA(VLOOKUP(Granger_Inventory[[#This Row],[living_area_range]],Lookups!$A$48:$C$57,3,FALSE),1)</f>
        <v>0.97960506760539345</v>
      </c>
      <c r="BV371" s="4">
        <f>AVERAGE(Granger_Inventory[[#This Row],[qual_adj]:[living_range_adj]])</f>
        <v>0.9113000938973963</v>
      </c>
      <c r="BW371" s="8">
        <f>(Granger_Inventory[[#This Row],[sum_land]]-IF(Granger_Inventory[[#This Row],[no_utilities]]=1,12000,0))/IF(Granger_Inventory[[#This Row],[unbuildable]]=1,2,1)</f>
        <v>23128.971718879347</v>
      </c>
      <c r="BX371" s="8">
        <f>Granger_Inventory[[#This Row],[pre_res]]*Granger_Inventory[[#This Row],[overall_adj]]</f>
        <v>190235.90527538265</v>
      </c>
      <c r="BY371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71">
        <f>ROUND(Granger_Inventory[[#This Row],[detatched_value]]*Lookups!$I$45,-2)</f>
        <v>15000</v>
      </c>
      <c r="CA371">
        <f>IF(ROUND(Granger_Inventory[[#This Row],[adj_res]]*Lookups!$I$45,-2)&lt;Granger_Inventory[[#This Row],[min_res]],Granger_Inventory[[#This Row],[min_res]],ROUND(Granger_Inventory[[#This Row],[adj_res]]*Lookups!$I$45,-2))</f>
        <v>180700</v>
      </c>
      <c r="CB371">
        <f>Granger_Inventory[[#This Row],[final_det]]+Granger_Inventory[[#This Row],[final_res]]</f>
        <v>195700</v>
      </c>
      <c r="CC371">
        <f>Granger_Inventory[[#This Row],[final_land]]+Granger_Inventory[[#This Row],[final_imp]]+Granger_Inventory[[#This Row],[crop_value]]</f>
        <v>217700</v>
      </c>
      <c r="CE371" t="str">
        <f t="shared" si="5"/>
        <v>update valuation set market_land =22000, market_bldg=195700, market_total =217700, market_mdno =402, market_date ='9/10/2023' where link_id = (select link_id from parcel where parcel_year = '2024' and parcel_id = '21102113465');</v>
      </c>
    </row>
    <row r="372" spans="1:83" x14ac:dyDescent="0.25">
      <c r="A372">
        <v>21102113466</v>
      </c>
      <c r="B372">
        <v>0.21</v>
      </c>
      <c r="C372">
        <v>9000</v>
      </c>
      <c r="D372" t="s">
        <v>137</v>
      </c>
      <c r="E372" t="s">
        <v>54</v>
      </c>
      <c r="F372" t="s">
        <v>54</v>
      </c>
      <c r="G372">
        <v>3</v>
      </c>
      <c r="H372" t="s">
        <v>55</v>
      </c>
      <c r="I372">
        <v>43400</v>
      </c>
      <c r="J372">
        <v>28300</v>
      </c>
      <c r="K372">
        <v>0.21</v>
      </c>
      <c r="L372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372">
        <v>0</v>
      </c>
      <c r="N372">
        <v>0</v>
      </c>
      <c r="O372">
        <v>0</v>
      </c>
      <c r="P372">
        <v>47108.068500000001</v>
      </c>
      <c r="Q372">
        <v>122298</v>
      </c>
      <c r="R372">
        <f>(Granger_Inventory[[#This Row],[ln_acres]]*Granger_Inventory[[#This Row],[coeff]])+Granger_Inventory[[#This Row],[const]]</f>
        <v>48778.898970377239</v>
      </c>
      <c r="S372" t="s">
        <v>69</v>
      </c>
      <c r="T372">
        <v>1</v>
      </c>
      <c r="U372" t="s">
        <v>78</v>
      </c>
      <c r="V372" t="s">
        <v>79</v>
      </c>
      <c r="W372">
        <v>0</v>
      </c>
      <c r="X372">
        <v>0</v>
      </c>
      <c r="Y372">
        <v>55</v>
      </c>
      <c r="Z372">
        <v>98</v>
      </c>
      <c r="AA372">
        <v>100</v>
      </c>
      <c r="AB372">
        <v>1000</v>
      </c>
      <c r="AC372">
        <v>880</v>
      </c>
      <c r="AD372">
        <v>880</v>
      </c>
      <c r="AE372">
        <v>0</v>
      </c>
      <c r="AF372">
        <v>0</v>
      </c>
      <c r="AG372">
        <v>0</v>
      </c>
      <c r="AH372">
        <v>680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5</v>
      </c>
      <c r="AQ372">
        <v>0</v>
      </c>
      <c r="AR372">
        <v>0</v>
      </c>
      <c r="AS372" t="s">
        <v>59</v>
      </c>
      <c r="AT372">
        <v>0</v>
      </c>
      <c r="AU372" t="s">
        <v>142</v>
      </c>
      <c r="AV372" t="s">
        <v>143</v>
      </c>
      <c r="AW372">
        <v>0</v>
      </c>
      <c r="AX372">
        <v>2</v>
      </c>
      <c r="AY372">
        <v>0</v>
      </c>
      <c r="AZ372">
        <v>0</v>
      </c>
      <c r="BA372">
        <v>100</v>
      </c>
      <c r="BB372">
        <v>100</v>
      </c>
      <c r="BC372">
        <v>100</v>
      </c>
      <c r="BD372">
        <v>100</v>
      </c>
      <c r="BE372">
        <v>1</v>
      </c>
      <c r="BF372">
        <v>15000</v>
      </c>
      <c r="BG372">
        <v>1000</v>
      </c>
      <c r="BH372" s="8">
        <f>Granger_Inventory[[#This Row],[land_extract]]*Lookups!$B$3</f>
        <v>29059.09250674201</v>
      </c>
      <c r="BI372" s="8">
        <f>IF(Granger_Inventory[[#This Row],[bldg_style]]="",0,Lookups!$B$2)</f>
        <v>29703.559000000001</v>
      </c>
      <c r="BJ372" s="8">
        <f>_xlfn.IFNA(VLOOKUP(Granger_Inventory[[#This Row],[quality]],Lookups!$H$2:$J$14,3,FALSE),0)</f>
        <v>23737.786340274597</v>
      </c>
      <c r="BK372" s="8">
        <f>_xlfn.IFNA(VLOOKUP(Granger_Inventory[[#This Row],[condition]],Lookups!$H$17:$J$24,3,FALSE),0)</f>
        <v>86727</v>
      </c>
      <c r="BL372" s="8">
        <f>Granger_Inventory[[#This Row],[Age]]*Lookups!$B$16</f>
        <v>-20318.447799999998</v>
      </c>
      <c r="BM372" s="8">
        <f>Granger_Inventory[[#This Row],[living_area]]*Lookups!$B$17</f>
        <v>59200.159919999998</v>
      </c>
      <c r="BN372" s="8">
        <f>(Granger_Inventory[[#This Row],[att_gar]]+Granger_Inventory[[#This Row],[blt_gar]])*Lookups!$B$18</f>
        <v>0</v>
      </c>
      <c r="BO372" s="8">
        <f>Granger_Inventory[[#This Row],[Patio]]*Lookups!$B$19</f>
        <v>0</v>
      </c>
      <c r="BP372" s="8">
        <f>SUM(Granger_Inventory[[#This Row],[Intercept]:[Patio_Value]])*Granger_Inventory[[#This Row],[res_pct]]</f>
        <v>179050.05746027461</v>
      </c>
      <c r="BQ372" s="8">
        <f>Granger_Inventory[[#This Row],[land_value]]</f>
        <v>29059.09250674201</v>
      </c>
      <c r="BR372" s="4">
        <f>_xlfn.IFNA(VLOOKUP(Granger_Inventory[[#This Row],[quality]],Lookups!$A$25:$C$35,3,FALSE),1)</f>
        <v>0.77695375541795109</v>
      </c>
      <c r="BS372" s="4">
        <f>_xlfn.IFNA(VLOOKUP(Granger_Inventory[[#This Row],[condition]],Lookups!$A$38:$C$45,3,FALSE),1)</f>
        <v>0.85322907131620684</v>
      </c>
      <c r="BT372" s="4">
        <f>IF(Granger_Inventory[[#This Row],[decade]]="",1,_xlfn.IFNA(VLOOKUP(Granger_Inventory[[#This Row],[decade]],Lookups!$G$28:$I$42,3,FALSE),1))</f>
        <v>0.879441629375324</v>
      </c>
      <c r="BU372" s="4">
        <f>_xlfn.IFNA(VLOOKUP(Granger_Inventory[[#This Row],[living_area_range]],Lookups!$A$48:$C$57,3,FALSE),1)</f>
        <v>0.81272404900450645</v>
      </c>
      <c r="BV372" s="4">
        <f>AVERAGE(Granger_Inventory[[#This Row],[qual_adj]:[living_range_adj]])</f>
        <v>0.83058712627849718</v>
      </c>
      <c r="BW372" s="8">
        <f>(Granger_Inventory[[#This Row],[sum_land]]-IF(Granger_Inventory[[#This Row],[no_utilities]]=1,12000,0))/IF(Granger_Inventory[[#This Row],[unbuildable]]=1,2,1)</f>
        <v>29059.09250674201</v>
      </c>
      <c r="BX372" s="8">
        <f>Granger_Inventory[[#This Row],[pre_res]]*Granger_Inventory[[#This Row],[overall_adj]]</f>
        <v>148716.67268592928</v>
      </c>
      <c r="BY372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372">
        <f>ROUND(Granger_Inventory[[#This Row],[detatched_value]]*Lookups!$I$45,-2)</f>
        <v>0</v>
      </c>
      <c r="CA372">
        <f>IF(ROUND(Granger_Inventory[[#This Row],[adj_res]]*Lookups!$I$45,-2)&lt;Granger_Inventory[[#This Row],[min_res]],Granger_Inventory[[#This Row],[min_res]],ROUND(Granger_Inventory[[#This Row],[adj_res]]*Lookups!$I$45,-2))</f>
        <v>141300</v>
      </c>
      <c r="CB372">
        <f>Granger_Inventory[[#This Row],[final_det]]+Granger_Inventory[[#This Row],[final_res]]</f>
        <v>141300</v>
      </c>
      <c r="CC372">
        <f>Granger_Inventory[[#This Row],[final_land]]+Granger_Inventory[[#This Row],[final_imp]]+Granger_Inventory[[#This Row],[crop_value]]</f>
        <v>168900</v>
      </c>
      <c r="CE372" t="str">
        <f t="shared" si="5"/>
        <v>update valuation set market_land =27600, market_bldg=141300, market_total =168900, market_mdno =402, market_date ='9/10/2023' where link_id = (select link_id from parcel where parcel_year = '2024' and parcel_id = '21102113466');</v>
      </c>
    </row>
    <row r="373" spans="1:83" x14ac:dyDescent="0.25">
      <c r="A373">
        <v>21102113468</v>
      </c>
      <c r="B373">
        <v>0.15</v>
      </c>
      <c r="C373">
        <v>6398</v>
      </c>
      <c r="D373" t="s">
        <v>137</v>
      </c>
      <c r="E373" t="s">
        <v>54</v>
      </c>
      <c r="F373" t="s">
        <v>54</v>
      </c>
      <c r="G373">
        <v>3</v>
      </c>
      <c r="H373" t="s">
        <v>55</v>
      </c>
      <c r="I373">
        <v>22900</v>
      </c>
      <c r="J373">
        <v>26300</v>
      </c>
      <c r="K373">
        <v>0.15</v>
      </c>
      <c r="L373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73">
        <v>0</v>
      </c>
      <c r="N373">
        <v>0</v>
      </c>
      <c r="O373">
        <v>0</v>
      </c>
      <c r="P373">
        <v>47108.068500000001</v>
      </c>
      <c r="Q373">
        <v>122298</v>
      </c>
      <c r="R373">
        <f>(Granger_Inventory[[#This Row],[ln_acres]]*Granger_Inventory[[#This Row],[coeff]])+Granger_Inventory[[#This Row],[const]]</f>
        <v>32928.341799276939</v>
      </c>
      <c r="S373" t="s">
        <v>69</v>
      </c>
      <c r="T373">
        <v>1</v>
      </c>
      <c r="U373" t="s">
        <v>106</v>
      </c>
      <c r="V373" t="s">
        <v>77</v>
      </c>
      <c r="W373">
        <v>0</v>
      </c>
      <c r="X373">
        <v>0</v>
      </c>
      <c r="Y373">
        <v>55</v>
      </c>
      <c r="Z373">
        <v>98</v>
      </c>
      <c r="AA373">
        <v>100</v>
      </c>
      <c r="AB373">
        <v>1000</v>
      </c>
      <c r="AC373">
        <v>522</v>
      </c>
      <c r="AD373">
        <v>522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150</v>
      </c>
      <c r="AM373">
        <v>0</v>
      </c>
      <c r="AN373">
        <v>0</v>
      </c>
      <c r="AO373">
        <v>0</v>
      </c>
      <c r="AP373">
        <v>5</v>
      </c>
      <c r="AQ373">
        <v>1</v>
      </c>
      <c r="AR373">
        <v>0</v>
      </c>
      <c r="AS373" t="s">
        <v>59</v>
      </c>
      <c r="AT373">
        <v>0</v>
      </c>
      <c r="AU373" t="s">
        <v>83</v>
      </c>
      <c r="AV373" t="s">
        <v>65</v>
      </c>
      <c r="AW373">
        <v>0</v>
      </c>
      <c r="AX373">
        <v>2</v>
      </c>
      <c r="AY373">
        <v>0</v>
      </c>
      <c r="AZ373">
        <v>0</v>
      </c>
      <c r="BA373">
        <v>100</v>
      </c>
      <c r="BB373">
        <v>100</v>
      </c>
      <c r="BC373">
        <v>100</v>
      </c>
      <c r="BD373">
        <v>100</v>
      </c>
      <c r="BE373">
        <v>1</v>
      </c>
      <c r="BF373">
        <v>15000</v>
      </c>
      <c r="BG373">
        <v>1000</v>
      </c>
      <c r="BH373" s="8">
        <f>Granger_Inventory[[#This Row],[land_extract]]*Lookups!$B$3</f>
        <v>19616.42740275669</v>
      </c>
      <c r="BI373" s="8">
        <f>IF(Granger_Inventory[[#This Row],[bldg_style]]="",0,Lookups!$B$2)</f>
        <v>29703.559000000001</v>
      </c>
      <c r="BJ373" s="8">
        <f>_xlfn.IFNA(VLOOKUP(Granger_Inventory[[#This Row],[quality]],Lookups!$H$2:$J$14,3,FALSE),0)</f>
        <v>17985.540667792327</v>
      </c>
      <c r="BK373" s="8">
        <f>_xlfn.IFNA(VLOOKUP(Granger_Inventory[[#This Row],[condition]],Lookups!$H$17:$J$24,3,FALSE),0)</f>
        <v>33736</v>
      </c>
      <c r="BL373" s="8">
        <f>Granger_Inventory[[#This Row],[Age]]*Lookups!$B$16</f>
        <v>-20318.447799999998</v>
      </c>
      <c r="BM373" s="8">
        <f>Granger_Inventory[[#This Row],[living_area]]*Lookups!$B$17</f>
        <v>35116.458498</v>
      </c>
      <c r="BN373" s="8">
        <f>(Granger_Inventory[[#This Row],[att_gar]]+Granger_Inventory[[#This Row],[blt_gar]])*Lookups!$B$18</f>
        <v>0</v>
      </c>
      <c r="BO373" s="8">
        <f>Granger_Inventory[[#This Row],[Patio]]*Lookups!$B$19</f>
        <v>0</v>
      </c>
      <c r="BP373" s="8">
        <f>SUM(Granger_Inventory[[#This Row],[Intercept]:[Patio_Value]])*Granger_Inventory[[#This Row],[res_pct]]</f>
        <v>96223.110365792323</v>
      </c>
      <c r="BQ373" s="8">
        <f>Granger_Inventory[[#This Row],[land_value]]</f>
        <v>19616.42740275669</v>
      </c>
      <c r="BR373" s="4">
        <f>_xlfn.IFNA(VLOOKUP(Granger_Inventory[[#This Row],[quality]],Lookups!$A$25:$C$35,3,FALSE),1)</f>
        <v>0.77695375541795109</v>
      </c>
      <c r="BS373" s="4">
        <f>_xlfn.IFNA(VLOOKUP(Granger_Inventory[[#This Row],[condition]],Lookups!$A$38:$C$45,3,FALSE),1)</f>
        <v>0.92294678898076177</v>
      </c>
      <c r="BT373" s="4">
        <f>IF(Granger_Inventory[[#This Row],[decade]]="",1,_xlfn.IFNA(VLOOKUP(Granger_Inventory[[#This Row],[decade]],Lookups!$G$28:$I$42,3,FALSE),1))</f>
        <v>0.879441629375324</v>
      </c>
      <c r="BU373" s="4">
        <f>_xlfn.IFNA(VLOOKUP(Granger_Inventory[[#This Row],[living_area_range]],Lookups!$A$48:$C$57,3,FALSE),1)</f>
        <v>0.81272404900450645</v>
      </c>
      <c r="BV373" s="4">
        <f>AVERAGE(Granger_Inventory[[#This Row],[qual_adj]:[living_range_adj]])</f>
        <v>0.84801655569463574</v>
      </c>
      <c r="BW373" s="8">
        <f>(Granger_Inventory[[#This Row],[sum_land]]-IF(Granger_Inventory[[#This Row],[no_utilities]]=1,12000,0))/IF(Granger_Inventory[[#This Row],[unbuildable]]=1,2,1)</f>
        <v>19616.42740275669</v>
      </c>
      <c r="BX373" s="8">
        <f>Granger_Inventory[[#This Row],[pre_res]]*Granger_Inventory[[#This Row],[overall_adj]]</f>
        <v>81598.790630624004</v>
      </c>
      <c r="BY373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73">
        <f>ROUND(Granger_Inventory[[#This Row],[detatched_value]]*Lookups!$I$45,-2)</f>
        <v>0</v>
      </c>
      <c r="CA373">
        <f>IF(ROUND(Granger_Inventory[[#This Row],[adj_res]]*Lookups!$I$45,-2)&lt;Granger_Inventory[[#This Row],[min_res]],Granger_Inventory[[#This Row],[min_res]],ROUND(Granger_Inventory[[#This Row],[adj_res]]*Lookups!$I$45,-2))</f>
        <v>77500</v>
      </c>
      <c r="CB373">
        <f>Granger_Inventory[[#This Row],[final_det]]+Granger_Inventory[[#This Row],[final_res]]</f>
        <v>77500</v>
      </c>
      <c r="CC373">
        <f>Granger_Inventory[[#This Row],[final_land]]+Granger_Inventory[[#This Row],[final_imp]]+Granger_Inventory[[#This Row],[crop_value]]</f>
        <v>96100</v>
      </c>
      <c r="CE373" t="str">
        <f t="shared" si="5"/>
        <v>update valuation set market_land =18600, market_bldg=77500, market_total =96100, market_mdno =402, market_date ='9/10/2023' where link_id = (select link_id from parcel where parcel_year = '2024' and parcel_id = '21102113468');</v>
      </c>
    </row>
    <row r="374" spans="1:83" x14ac:dyDescent="0.25">
      <c r="A374">
        <v>21102113469</v>
      </c>
      <c r="B374">
        <v>0.1</v>
      </c>
      <c r="C374">
        <v>4274</v>
      </c>
      <c r="D374" t="s">
        <v>137</v>
      </c>
      <c r="E374" t="s">
        <v>54</v>
      </c>
      <c r="F374" t="s">
        <v>54</v>
      </c>
      <c r="G374">
        <v>3</v>
      </c>
      <c r="H374" t="s">
        <v>55</v>
      </c>
      <c r="I374">
        <v>239500</v>
      </c>
      <c r="J374">
        <v>23900</v>
      </c>
      <c r="K374">
        <v>0.1</v>
      </c>
      <c r="L374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374">
        <v>0</v>
      </c>
      <c r="N374">
        <v>0</v>
      </c>
      <c r="O374">
        <v>0</v>
      </c>
      <c r="P374">
        <v>47108.068500000001</v>
      </c>
      <c r="Q374">
        <v>122298</v>
      </c>
      <c r="R374">
        <f>(Granger_Inventory[[#This Row],[ln_acres]]*Granger_Inventory[[#This Row],[coeff]])+Granger_Inventory[[#This Row],[const]]</f>
        <v>13827.663712157635</v>
      </c>
      <c r="S374" t="s">
        <v>56</v>
      </c>
      <c r="T374">
        <v>1</v>
      </c>
      <c r="U374" t="s">
        <v>57</v>
      </c>
      <c r="V374" t="s">
        <v>58</v>
      </c>
      <c r="W374">
        <v>0</v>
      </c>
      <c r="X374">
        <v>0</v>
      </c>
      <c r="Y374">
        <v>2</v>
      </c>
      <c r="Z374">
        <v>2</v>
      </c>
      <c r="AA374">
        <v>10</v>
      </c>
      <c r="AB374">
        <v>1500</v>
      </c>
      <c r="AC374">
        <v>1323</v>
      </c>
      <c r="AD374">
        <v>1323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264</v>
      </c>
      <c r="AL374">
        <v>0</v>
      </c>
      <c r="AM374">
        <v>0</v>
      </c>
      <c r="AN374">
        <v>288</v>
      </c>
      <c r="AO374">
        <v>0</v>
      </c>
      <c r="AP374">
        <v>9</v>
      </c>
      <c r="AQ374">
        <v>0</v>
      </c>
      <c r="AR374">
        <v>0</v>
      </c>
      <c r="AS374" t="s">
        <v>59</v>
      </c>
      <c r="AT374">
        <v>1</v>
      </c>
      <c r="AU374" t="s">
        <v>63</v>
      </c>
      <c r="AV374" t="s">
        <v>61</v>
      </c>
      <c r="AW374">
        <v>1</v>
      </c>
      <c r="AX374">
        <v>3</v>
      </c>
      <c r="AY374">
        <v>0</v>
      </c>
      <c r="AZ374">
        <v>0</v>
      </c>
      <c r="BA374">
        <v>100</v>
      </c>
      <c r="BB374">
        <v>100</v>
      </c>
      <c r="BC374">
        <v>100</v>
      </c>
      <c r="BD374">
        <v>100</v>
      </c>
      <c r="BE374">
        <v>1</v>
      </c>
      <c r="BF374">
        <v>15000</v>
      </c>
      <c r="BG374">
        <v>1000</v>
      </c>
      <c r="BH374" s="8">
        <f>Granger_Inventory[[#This Row],[land_extract]]*Lookups!$B$3</f>
        <v>8237.5651653746372</v>
      </c>
      <c r="BI374" s="8">
        <f>IF(Granger_Inventory[[#This Row],[bldg_style]]="",0,Lookups!$B$2)</f>
        <v>29703.559000000001</v>
      </c>
      <c r="BJ374" s="8">
        <f>_xlfn.IFNA(VLOOKUP(Granger_Inventory[[#This Row],[quality]],Lookups!$H$2:$J$14,3,FALSE),0)</f>
        <v>56414</v>
      </c>
      <c r="BK374" s="8">
        <f>_xlfn.IFNA(VLOOKUP(Granger_Inventory[[#This Row],[condition]],Lookups!$H$17:$J$24,3,FALSE),0)</f>
        <v>101774</v>
      </c>
      <c r="BL374" s="8">
        <f>Granger_Inventory[[#This Row],[Age]]*Lookups!$B$16</f>
        <v>-414.66219999999998</v>
      </c>
      <c r="BM374" s="8">
        <f>Granger_Inventory[[#This Row],[living_area]]*Lookups!$B$17</f>
        <v>89002.058606999999</v>
      </c>
      <c r="BN374" s="8">
        <f>(Granger_Inventory[[#This Row],[att_gar]]+Granger_Inventory[[#This Row],[blt_gar]])*Lookups!$B$18</f>
        <v>0</v>
      </c>
      <c r="BO374" s="8">
        <f>Granger_Inventory[[#This Row],[Patio]]*Lookups!$B$19</f>
        <v>0</v>
      </c>
      <c r="BP374" s="8">
        <f>SUM(Granger_Inventory[[#This Row],[Intercept]:[Patio_Value]])*Granger_Inventory[[#This Row],[res_pct]]</f>
        <v>276478.95540700003</v>
      </c>
      <c r="BQ374" s="8">
        <f>Granger_Inventory[[#This Row],[land_value]]</f>
        <v>8237.5651653746372</v>
      </c>
      <c r="BR374" s="4">
        <f>_xlfn.IFNA(VLOOKUP(Granger_Inventory[[#This Row],[quality]],Lookups!$A$25:$C$35,3,FALSE),1)</f>
        <v>0.98791809110152173</v>
      </c>
      <c r="BS374" s="4">
        <f>_xlfn.IFNA(VLOOKUP(Granger_Inventory[[#This Row],[condition]],Lookups!$A$38:$C$45,3,FALSE),1)</f>
        <v>0.99135053432734199</v>
      </c>
      <c r="BT374" s="4">
        <f>IF(Granger_Inventory[[#This Row],[decade]]="",1,_xlfn.IFNA(VLOOKUP(Granger_Inventory[[#This Row],[decade]],Lookups!$G$28:$I$42,3,FALSE),1))</f>
        <v>0.95532362136731586</v>
      </c>
      <c r="BU374" s="4">
        <f>_xlfn.IFNA(VLOOKUP(Granger_Inventory[[#This Row],[living_area_range]],Lookups!$A$48:$C$57,3,FALSE),1)</f>
        <v>0.97960506760539345</v>
      </c>
      <c r="BV374" s="4">
        <f>AVERAGE(Granger_Inventory[[#This Row],[qual_adj]:[living_range_adj]])</f>
        <v>0.97854932860039323</v>
      </c>
      <c r="BW374" s="8">
        <f>(Granger_Inventory[[#This Row],[sum_land]]-IF(Granger_Inventory[[#This Row],[no_utilities]]=1,12000,0))/IF(Granger_Inventory[[#This Row],[unbuildable]]=1,2,1)</f>
        <v>8237.5651653746372</v>
      </c>
      <c r="BX374" s="8">
        <f>Granger_Inventory[[#This Row],[pre_res]]*Granger_Inventory[[#This Row],[overall_adj]]</f>
        <v>270548.29618565796</v>
      </c>
      <c r="BY374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74">
        <f>ROUND(Granger_Inventory[[#This Row],[detatched_value]]*Lookups!$I$45,-2)</f>
        <v>0</v>
      </c>
      <c r="CA374">
        <f>IF(ROUND(Granger_Inventory[[#This Row],[adj_res]]*Lookups!$I$45,-2)&lt;Granger_Inventory[[#This Row],[min_res]],Granger_Inventory[[#This Row],[min_res]],ROUND(Granger_Inventory[[#This Row],[adj_res]]*Lookups!$I$45,-2))</f>
        <v>257000</v>
      </c>
      <c r="CB374">
        <f>Granger_Inventory[[#This Row],[final_det]]+Granger_Inventory[[#This Row],[final_res]]</f>
        <v>257000</v>
      </c>
      <c r="CC374">
        <f>Granger_Inventory[[#This Row],[final_land]]+Granger_Inventory[[#This Row],[final_imp]]+Granger_Inventory[[#This Row],[crop_value]]</f>
        <v>272000</v>
      </c>
      <c r="CE374" t="str">
        <f t="shared" si="5"/>
        <v>update valuation set market_land =15000, market_bldg=257000, market_total =272000, market_mdno =402, market_date ='9/10/2023' where link_id = (select link_id from parcel where parcel_year = '2024' and parcel_id = '21102113469');</v>
      </c>
    </row>
    <row r="375" spans="1:83" x14ac:dyDescent="0.25">
      <c r="A375">
        <v>21102113470</v>
      </c>
      <c r="B375">
        <v>0.13</v>
      </c>
      <c r="C375">
        <v>5669</v>
      </c>
      <c r="D375" t="s">
        <v>137</v>
      </c>
      <c r="E375" t="s">
        <v>54</v>
      </c>
      <c r="F375" t="s">
        <v>54</v>
      </c>
      <c r="G375">
        <v>3</v>
      </c>
      <c r="H375" t="s">
        <v>55</v>
      </c>
      <c r="I375">
        <v>47500</v>
      </c>
      <c r="J375">
        <v>25500</v>
      </c>
      <c r="K375">
        <v>0.13</v>
      </c>
      <c r="L375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75">
        <v>0</v>
      </c>
      <c r="N375">
        <v>0</v>
      </c>
      <c r="O375">
        <v>0</v>
      </c>
      <c r="P375">
        <v>47108.068500000001</v>
      </c>
      <c r="Q375">
        <v>122298</v>
      </c>
      <c r="R375">
        <f>(Granger_Inventory[[#This Row],[ln_acres]]*Granger_Inventory[[#This Row],[coeff]])+Granger_Inventory[[#This Row],[const]]</f>
        <v>26187.137454644311</v>
      </c>
      <c r="S375" t="s">
        <v>56</v>
      </c>
      <c r="T375">
        <v>1</v>
      </c>
      <c r="U375" t="s">
        <v>71</v>
      </c>
      <c r="V375" t="s">
        <v>79</v>
      </c>
      <c r="W375">
        <v>0</v>
      </c>
      <c r="X375">
        <v>0</v>
      </c>
      <c r="Y375">
        <v>47</v>
      </c>
      <c r="Z375">
        <v>58</v>
      </c>
      <c r="AA375">
        <v>60</v>
      </c>
      <c r="AB375">
        <v>1000</v>
      </c>
      <c r="AC375">
        <v>812</v>
      </c>
      <c r="AD375">
        <v>812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72</v>
      </c>
      <c r="AO375">
        <v>0</v>
      </c>
      <c r="AP375">
        <v>5</v>
      </c>
      <c r="AQ375">
        <v>0</v>
      </c>
      <c r="AR375">
        <v>0</v>
      </c>
      <c r="AS375" t="s">
        <v>59</v>
      </c>
      <c r="AT375">
        <v>1</v>
      </c>
      <c r="AU375" t="s">
        <v>76</v>
      </c>
      <c r="AV375" t="s">
        <v>65</v>
      </c>
      <c r="AW375">
        <v>0</v>
      </c>
      <c r="AX375">
        <v>2</v>
      </c>
      <c r="AY375">
        <v>0</v>
      </c>
      <c r="AZ375">
        <v>0</v>
      </c>
      <c r="BA375">
        <v>100</v>
      </c>
      <c r="BB375">
        <v>100</v>
      </c>
      <c r="BC375">
        <v>100</v>
      </c>
      <c r="BD375">
        <v>100</v>
      </c>
      <c r="BE375">
        <v>1</v>
      </c>
      <c r="BF375">
        <v>15000</v>
      </c>
      <c r="BG375">
        <v>1000</v>
      </c>
      <c r="BH375" s="8">
        <f>Granger_Inventory[[#This Row],[land_extract]]*Lookups!$B$3</f>
        <v>15600.484345565219</v>
      </c>
      <c r="BI375" s="8">
        <f>IF(Granger_Inventory[[#This Row],[bldg_style]]="",0,Lookups!$B$2)</f>
        <v>29703.559000000001</v>
      </c>
      <c r="BJ375" s="8">
        <f>_xlfn.IFNA(VLOOKUP(Granger_Inventory[[#This Row],[quality]],Lookups!$H$2:$J$14,3,FALSE),0)</f>
        <v>34195</v>
      </c>
      <c r="BK375" s="8">
        <f>_xlfn.IFNA(VLOOKUP(Granger_Inventory[[#This Row],[condition]],Lookups!$H$17:$J$24,3,FALSE),0)</f>
        <v>86727</v>
      </c>
      <c r="BL375" s="8">
        <f>Granger_Inventory[[#This Row],[Age]]*Lookups!$B$16</f>
        <v>-12025.203799999999</v>
      </c>
      <c r="BM375" s="8">
        <f>Granger_Inventory[[#This Row],[living_area]]*Lookups!$B$17</f>
        <v>54625.602107999999</v>
      </c>
      <c r="BN375" s="8">
        <f>(Granger_Inventory[[#This Row],[att_gar]]+Granger_Inventory[[#This Row],[blt_gar]])*Lookups!$B$18</f>
        <v>0</v>
      </c>
      <c r="BO375" s="8">
        <f>Granger_Inventory[[#This Row],[Patio]]*Lookups!$B$19</f>
        <v>0</v>
      </c>
      <c r="BP375" s="8">
        <f>SUM(Granger_Inventory[[#This Row],[Intercept]:[Patio_Value]])*Granger_Inventory[[#This Row],[res_pct]]</f>
        <v>193225.95730800001</v>
      </c>
      <c r="BQ375" s="8">
        <f>Granger_Inventory[[#This Row],[land_value]]</f>
        <v>15600.484345565219</v>
      </c>
      <c r="BR375" s="4">
        <f>_xlfn.IFNA(VLOOKUP(Granger_Inventory[[#This Row],[quality]],Lookups!$A$25:$C$35,3,FALSE),1)</f>
        <v>0.98258795897788032</v>
      </c>
      <c r="BS375" s="4">
        <f>_xlfn.IFNA(VLOOKUP(Granger_Inventory[[#This Row],[condition]],Lookups!$A$38:$C$45,3,FALSE),1)</f>
        <v>0.85322907131620684</v>
      </c>
      <c r="BT375" s="4">
        <f>IF(Granger_Inventory[[#This Row],[decade]]="",1,_xlfn.IFNA(VLOOKUP(Granger_Inventory[[#This Row],[decade]],Lookups!$G$28:$I$42,3,FALSE),1))</f>
        <v>0.86581421791274704</v>
      </c>
      <c r="BU375" s="4">
        <f>_xlfn.IFNA(VLOOKUP(Granger_Inventory[[#This Row],[living_area_range]],Lookups!$A$48:$C$57,3,FALSE),1)</f>
        <v>0.81272404900450645</v>
      </c>
      <c r="BV375" s="4">
        <f>AVERAGE(Granger_Inventory[[#This Row],[qual_adj]:[living_range_adj]])</f>
        <v>0.87858882430283525</v>
      </c>
      <c r="BW375" s="8">
        <f>(Granger_Inventory[[#This Row],[sum_land]]-IF(Granger_Inventory[[#This Row],[no_utilities]]=1,12000,0))/IF(Granger_Inventory[[#This Row],[unbuildable]]=1,2,1)</f>
        <v>15600.484345565219</v>
      </c>
      <c r="BX375" s="8">
        <f>Granger_Inventory[[#This Row],[pre_res]]*Granger_Inventory[[#This Row],[overall_adj]]</f>
        <v>169766.16665602557</v>
      </c>
      <c r="BY375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75">
        <f>ROUND(Granger_Inventory[[#This Row],[detatched_value]]*Lookups!$I$45,-2)</f>
        <v>0</v>
      </c>
      <c r="CA375">
        <f>IF(ROUND(Granger_Inventory[[#This Row],[adj_res]]*Lookups!$I$45,-2)&lt;Granger_Inventory[[#This Row],[min_res]],Granger_Inventory[[#This Row],[min_res]],ROUND(Granger_Inventory[[#This Row],[adj_res]]*Lookups!$I$45,-2))</f>
        <v>161300</v>
      </c>
      <c r="CB375">
        <f>Granger_Inventory[[#This Row],[final_det]]+Granger_Inventory[[#This Row],[final_res]]</f>
        <v>161300</v>
      </c>
      <c r="CC375">
        <f>Granger_Inventory[[#This Row],[final_land]]+Granger_Inventory[[#This Row],[final_imp]]+Granger_Inventory[[#This Row],[crop_value]]</f>
        <v>176300</v>
      </c>
      <c r="CE375" t="str">
        <f t="shared" si="5"/>
        <v>update valuation set market_land =15000, market_bldg=161300, market_total =176300, market_mdno =402, market_date ='9/10/2023' where link_id = (select link_id from parcel where parcel_year = '2024' and parcel_id = '21102113470');</v>
      </c>
    </row>
    <row r="376" spans="1:83" x14ac:dyDescent="0.25">
      <c r="A376">
        <v>21102113471</v>
      </c>
      <c r="B376">
        <v>0.14000000000000001</v>
      </c>
      <c r="C376">
        <v>5950</v>
      </c>
      <c r="D376" t="s">
        <v>137</v>
      </c>
      <c r="E376" t="s">
        <v>54</v>
      </c>
      <c r="F376" t="s">
        <v>54</v>
      </c>
      <c r="G376">
        <v>3</v>
      </c>
      <c r="H376" t="s">
        <v>55</v>
      </c>
      <c r="I376">
        <v>69200</v>
      </c>
      <c r="J376">
        <v>25900</v>
      </c>
      <c r="K376">
        <v>0.14000000000000001</v>
      </c>
      <c r="L37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76">
        <v>0</v>
      </c>
      <c r="N376">
        <v>0</v>
      </c>
      <c r="O376">
        <v>0</v>
      </c>
      <c r="P376">
        <v>47108.068500000001</v>
      </c>
      <c r="Q376">
        <v>122298</v>
      </c>
      <c r="R376">
        <f>(Granger_Inventory[[#This Row],[ln_acres]]*Granger_Inventory[[#This Row],[coeff]])+Granger_Inventory[[#This Row],[const]]</f>
        <v>29678.220883257934</v>
      </c>
      <c r="S376" t="s">
        <v>69</v>
      </c>
      <c r="T376">
        <v>1</v>
      </c>
      <c r="U376" t="s">
        <v>106</v>
      </c>
      <c r="V376" t="s">
        <v>77</v>
      </c>
      <c r="W376">
        <v>0</v>
      </c>
      <c r="X376">
        <v>0</v>
      </c>
      <c r="Y376">
        <v>53</v>
      </c>
      <c r="Z376">
        <v>93</v>
      </c>
      <c r="AA376">
        <v>100</v>
      </c>
      <c r="AB376">
        <v>1000</v>
      </c>
      <c r="AC376">
        <v>840</v>
      </c>
      <c r="AD376">
        <v>840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5</v>
      </c>
      <c r="AQ376">
        <v>0</v>
      </c>
      <c r="AR376">
        <v>0</v>
      </c>
      <c r="AS376" t="s">
        <v>59</v>
      </c>
      <c r="AT376">
        <v>1</v>
      </c>
      <c r="AU376" t="s">
        <v>76</v>
      </c>
      <c r="AV376" t="s">
        <v>65</v>
      </c>
      <c r="AW376">
        <v>0</v>
      </c>
      <c r="AX376">
        <v>3</v>
      </c>
      <c r="AY376">
        <v>0</v>
      </c>
      <c r="AZ376">
        <v>0</v>
      </c>
      <c r="BA376">
        <v>100</v>
      </c>
      <c r="BB376">
        <v>100</v>
      </c>
      <c r="BC376">
        <v>100</v>
      </c>
      <c r="BD376">
        <v>100</v>
      </c>
      <c r="BE376">
        <v>1</v>
      </c>
      <c r="BF376">
        <v>15000</v>
      </c>
      <c r="BG376">
        <v>1000</v>
      </c>
      <c r="BH376" s="8">
        <f>Granger_Inventory[[#This Row],[land_extract]]*Lookups!$B$3</f>
        <v>17680.230269359956</v>
      </c>
      <c r="BI376" s="8">
        <f>IF(Granger_Inventory[[#This Row],[bldg_style]]="",0,Lookups!$B$2)</f>
        <v>29703.559000000001</v>
      </c>
      <c r="BJ376" s="8">
        <f>_xlfn.IFNA(VLOOKUP(Granger_Inventory[[#This Row],[quality]],Lookups!$H$2:$J$14,3,FALSE),0)</f>
        <v>17985.540667792327</v>
      </c>
      <c r="BK376" s="8">
        <f>_xlfn.IFNA(VLOOKUP(Granger_Inventory[[#This Row],[condition]],Lookups!$H$17:$J$24,3,FALSE),0)</f>
        <v>33736</v>
      </c>
      <c r="BL376" s="8">
        <f>Granger_Inventory[[#This Row],[Age]]*Lookups!$B$16</f>
        <v>-19281.792300000001</v>
      </c>
      <c r="BM376" s="8">
        <f>Granger_Inventory[[#This Row],[living_area]]*Lookups!$B$17</f>
        <v>56509.243559999995</v>
      </c>
      <c r="BN376" s="8">
        <f>(Granger_Inventory[[#This Row],[att_gar]]+Granger_Inventory[[#This Row],[blt_gar]])*Lookups!$B$18</f>
        <v>0</v>
      </c>
      <c r="BO376" s="8">
        <f>Granger_Inventory[[#This Row],[Patio]]*Lookups!$B$19</f>
        <v>0</v>
      </c>
      <c r="BP376" s="8">
        <f>SUM(Granger_Inventory[[#This Row],[Intercept]:[Patio_Value]])*Granger_Inventory[[#This Row],[res_pct]]</f>
        <v>118652.55092779233</v>
      </c>
      <c r="BQ376" s="8">
        <f>Granger_Inventory[[#This Row],[land_value]]</f>
        <v>17680.230269359956</v>
      </c>
      <c r="BR376" s="4">
        <f>_xlfn.IFNA(VLOOKUP(Granger_Inventory[[#This Row],[quality]],Lookups!$A$25:$C$35,3,FALSE),1)</f>
        <v>0.77695375541795109</v>
      </c>
      <c r="BS376" s="4">
        <f>_xlfn.IFNA(VLOOKUP(Granger_Inventory[[#This Row],[condition]],Lookups!$A$38:$C$45,3,FALSE),1)</f>
        <v>0.92294678898076177</v>
      </c>
      <c r="BT376" s="4">
        <f>IF(Granger_Inventory[[#This Row],[decade]]="",1,_xlfn.IFNA(VLOOKUP(Granger_Inventory[[#This Row],[decade]],Lookups!$G$28:$I$42,3,FALSE),1))</f>
        <v>0.879441629375324</v>
      </c>
      <c r="BU376" s="4">
        <f>_xlfn.IFNA(VLOOKUP(Granger_Inventory[[#This Row],[living_area_range]],Lookups!$A$48:$C$57,3,FALSE),1)</f>
        <v>0.81272404900450645</v>
      </c>
      <c r="BV376" s="4">
        <f>AVERAGE(Granger_Inventory[[#This Row],[qual_adj]:[living_range_adj]])</f>
        <v>0.84801655569463574</v>
      </c>
      <c r="BW376" s="8">
        <f>(Granger_Inventory[[#This Row],[sum_land]]-IF(Granger_Inventory[[#This Row],[no_utilities]]=1,12000,0))/IF(Granger_Inventory[[#This Row],[unbuildable]]=1,2,1)</f>
        <v>17680.230269359956</v>
      </c>
      <c r="BX376" s="8">
        <f>Granger_Inventory[[#This Row],[pre_res]]*Granger_Inventory[[#This Row],[overall_adj]]</f>
        <v>100619.32756216881</v>
      </c>
      <c r="BY37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76">
        <f>ROUND(Granger_Inventory[[#This Row],[detatched_value]]*Lookups!$I$45,-2)</f>
        <v>0</v>
      </c>
      <c r="CA376">
        <f>IF(ROUND(Granger_Inventory[[#This Row],[adj_res]]*Lookups!$I$45,-2)&lt;Granger_Inventory[[#This Row],[min_res]],Granger_Inventory[[#This Row],[min_res]],ROUND(Granger_Inventory[[#This Row],[adj_res]]*Lookups!$I$45,-2))</f>
        <v>95600</v>
      </c>
      <c r="CB376">
        <f>Granger_Inventory[[#This Row],[final_det]]+Granger_Inventory[[#This Row],[final_res]]</f>
        <v>95600</v>
      </c>
      <c r="CC376">
        <f>Granger_Inventory[[#This Row],[final_land]]+Granger_Inventory[[#This Row],[final_imp]]+Granger_Inventory[[#This Row],[crop_value]]</f>
        <v>112400</v>
      </c>
      <c r="CE376" t="str">
        <f t="shared" si="5"/>
        <v>update valuation set market_land =16800, market_bldg=95600, market_total =112400, market_mdno =402, market_date ='9/10/2023' where link_id = (select link_id from parcel where parcel_year = '2024' and parcel_id = '21102113471');</v>
      </c>
    </row>
    <row r="377" spans="1:83" x14ac:dyDescent="0.25">
      <c r="A377">
        <v>21102113482</v>
      </c>
      <c r="B377">
        <v>0.21</v>
      </c>
      <c r="C377">
        <v>8999</v>
      </c>
      <c r="D377" t="s">
        <v>137</v>
      </c>
      <c r="E377" t="s">
        <v>54</v>
      </c>
      <c r="F377" t="s">
        <v>54</v>
      </c>
      <c r="G377">
        <v>3</v>
      </c>
      <c r="H377" t="s">
        <v>55</v>
      </c>
      <c r="I377">
        <v>289300</v>
      </c>
      <c r="J377">
        <v>28300</v>
      </c>
      <c r="K377">
        <v>0.21</v>
      </c>
      <c r="L377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377">
        <v>0</v>
      </c>
      <c r="N377">
        <v>0</v>
      </c>
      <c r="O377">
        <v>0</v>
      </c>
      <c r="P377">
        <v>47108.068500000001</v>
      </c>
      <c r="Q377">
        <v>122298</v>
      </c>
      <c r="R377">
        <f>(Granger_Inventory[[#This Row],[ln_acres]]*Granger_Inventory[[#This Row],[coeff]])+Granger_Inventory[[#This Row],[const]]</f>
        <v>48778.898970377239</v>
      </c>
      <c r="S377" t="s">
        <v>62</v>
      </c>
      <c r="T377">
        <v>2</v>
      </c>
      <c r="U377" t="s">
        <v>64</v>
      </c>
      <c r="V377" t="s">
        <v>77</v>
      </c>
      <c r="W377">
        <v>0</v>
      </c>
      <c r="X377">
        <v>0</v>
      </c>
      <c r="Y377">
        <v>57</v>
      </c>
      <c r="Z377">
        <v>103</v>
      </c>
      <c r="AA377">
        <v>110</v>
      </c>
      <c r="AB377">
        <v>3000</v>
      </c>
      <c r="AC377">
        <v>2613</v>
      </c>
      <c r="AD377">
        <v>1044</v>
      </c>
      <c r="AE377">
        <v>525</v>
      </c>
      <c r="AF377">
        <v>0</v>
      </c>
      <c r="AG377">
        <v>1044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261</v>
      </c>
      <c r="AO377">
        <v>0</v>
      </c>
      <c r="AP377">
        <v>8</v>
      </c>
      <c r="AQ377">
        <v>0</v>
      </c>
      <c r="AR377">
        <v>0</v>
      </c>
      <c r="AS377" t="s">
        <v>59</v>
      </c>
      <c r="AT377">
        <v>1</v>
      </c>
      <c r="AU377" t="s">
        <v>68</v>
      </c>
      <c r="AV377" t="s">
        <v>65</v>
      </c>
      <c r="AW377">
        <v>0</v>
      </c>
      <c r="AX377">
        <v>5</v>
      </c>
      <c r="AY377">
        <v>0</v>
      </c>
      <c r="AZ377">
        <v>4700</v>
      </c>
      <c r="BA377">
        <v>100</v>
      </c>
      <c r="BB377">
        <v>100</v>
      </c>
      <c r="BC377">
        <v>100</v>
      </c>
      <c r="BD377">
        <v>100</v>
      </c>
      <c r="BE377">
        <v>1</v>
      </c>
      <c r="BF377">
        <v>15000</v>
      </c>
      <c r="BG377">
        <v>1000</v>
      </c>
      <c r="BH377" s="8">
        <f>Granger_Inventory[[#This Row],[land_extract]]*Lookups!$B$3</f>
        <v>29059.09250674201</v>
      </c>
      <c r="BI377" s="8">
        <f>IF(Granger_Inventory[[#This Row],[bldg_style]]="",0,Lookups!$B$2)</f>
        <v>29703.559000000001</v>
      </c>
      <c r="BJ377" s="8">
        <f>_xlfn.IFNA(VLOOKUP(Granger_Inventory[[#This Row],[quality]],Lookups!$H$2:$J$14,3,FALSE),0)</f>
        <v>36568</v>
      </c>
      <c r="BK377" s="8">
        <f>_xlfn.IFNA(VLOOKUP(Granger_Inventory[[#This Row],[condition]],Lookups!$H$17:$J$24,3,FALSE),0)</f>
        <v>33736</v>
      </c>
      <c r="BL377" s="8">
        <f>Granger_Inventory[[#This Row],[Age]]*Lookups!$B$16</f>
        <v>-21355.103299999999</v>
      </c>
      <c r="BM377" s="8">
        <f>Granger_Inventory[[#This Row],[living_area]]*Lookups!$B$17</f>
        <v>175784.111217</v>
      </c>
      <c r="BN377" s="8">
        <f>(Granger_Inventory[[#This Row],[att_gar]]+Granger_Inventory[[#This Row],[blt_gar]])*Lookups!$B$18</f>
        <v>0</v>
      </c>
      <c r="BO377" s="8">
        <f>Granger_Inventory[[#This Row],[Patio]]*Lookups!$B$19</f>
        <v>0</v>
      </c>
      <c r="BP377" s="8">
        <f>SUM(Granger_Inventory[[#This Row],[Intercept]:[Patio_Value]])*Granger_Inventory[[#This Row],[res_pct]]</f>
        <v>254436.56691699999</v>
      </c>
      <c r="BQ377" s="8">
        <f>Granger_Inventory[[#This Row],[land_value]]</f>
        <v>29059.09250674201</v>
      </c>
      <c r="BR377" s="4">
        <f>_xlfn.IFNA(VLOOKUP(Granger_Inventory[[#This Row],[quality]],Lookups!$A$25:$C$35,3,FALSE),1)</f>
        <v>0.99049976351917957</v>
      </c>
      <c r="BS377" s="4">
        <f>_xlfn.IFNA(VLOOKUP(Granger_Inventory[[#This Row],[condition]],Lookups!$A$38:$C$45,3,FALSE),1)</f>
        <v>0.92294678898076177</v>
      </c>
      <c r="BT377" s="4">
        <f>IF(Granger_Inventory[[#This Row],[decade]]="",1,_xlfn.IFNA(VLOOKUP(Granger_Inventory[[#This Row],[decade]],Lookups!$G$28:$I$42,3,FALSE),1))</f>
        <v>0.879441629375324</v>
      </c>
      <c r="BU377" s="4">
        <f>_xlfn.IFNA(VLOOKUP(Granger_Inventory[[#This Row],[living_area_range]],Lookups!$A$48:$C$57,3,FALSE),1)</f>
        <v>0.99995754169072248</v>
      </c>
      <c r="BV377" s="4">
        <f>AVERAGE(Granger_Inventory[[#This Row],[qual_adj]:[living_range_adj]])</f>
        <v>0.94821143089149706</v>
      </c>
      <c r="BW377" s="8">
        <f>(Granger_Inventory[[#This Row],[sum_land]]-IF(Granger_Inventory[[#This Row],[no_utilities]]=1,12000,0))/IF(Granger_Inventory[[#This Row],[unbuildable]]=1,2,1)</f>
        <v>29059.09250674201</v>
      </c>
      <c r="BX377" s="8">
        <f>Granger_Inventory[[#This Row],[pre_res]]*Granger_Inventory[[#This Row],[overall_adj]]</f>
        <v>241259.6611874887</v>
      </c>
      <c r="BY377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377">
        <f>ROUND(Granger_Inventory[[#This Row],[detatched_value]]*Lookups!$I$45,-2)</f>
        <v>4500</v>
      </c>
      <c r="CA377">
        <f>IF(ROUND(Granger_Inventory[[#This Row],[adj_res]]*Lookups!$I$45,-2)&lt;Granger_Inventory[[#This Row],[min_res]],Granger_Inventory[[#This Row],[min_res]],ROUND(Granger_Inventory[[#This Row],[adj_res]]*Lookups!$I$45,-2))</f>
        <v>229200</v>
      </c>
      <c r="CB377">
        <f>Granger_Inventory[[#This Row],[final_det]]+Granger_Inventory[[#This Row],[final_res]]</f>
        <v>233700</v>
      </c>
      <c r="CC377">
        <f>Granger_Inventory[[#This Row],[final_land]]+Granger_Inventory[[#This Row],[final_imp]]+Granger_Inventory[[#This Row],[crop_value]]</f>
        <v>261300</v>
      </c>
      <c r="CE377" t="str">
        <f t="shared" si="5"/>
        <v>update valuation set market_land =27600, market_bldg=233700, market_total =261300, market_mdno =402, market_date ='9/10/2023' where link_id = (select link_id from parcel where parcel_year = '2024' and parcel_id = '21102113482');</v>
      </c>
    </row>
    <row r="378" spans="1:83" x14ac:dyDescent="0.25">
      <c r="A378">
        <v>21102113483</v>
      </c>
      <c r="B378">
        <v>0.28000000000000003</v>
      </c>
      <c r="C378">
        <v>11999</v>
      </c>
      <c r="D378" t="s">
        <v>137</v>
      </c>
      <c r="E378" t="s">
        <v>54</v>
      </c>
      <c r="F378" t="s">
        <v>54</v>
      </c>
      <c r="G378">
        <v>3</v>
      </c>
      <c r="H378" t="s">
        <v>55</v>
      </c>
      <c r="I378">
        <v>185400</v>
      </c>
      <c r="J378">
        <v>30000</v>
      </c>
      <c r="K378">
        <v>0.28000000000000003</v>
      </c>
      <c r="L378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378">
        <v>0</v>
      </c>
      <c r="N378">
        <v>0</v>
      </c>
      <c r="O378">
        <v>0</v>
      </c>
      <c r="P378">
        <v>47108.068500000001</v>
      </c>
      <c r="Q378">
        <v>122298</v>
      </c>
      <c r="R378">
        <f>(Granger_Inventory[[#This Row],[ln_acres]]*Granger_Inventory[[#This Row],[coeff]])+Granger_Inventory[[#This Row],[const]]</f>
        <v>62331.045745657706</v>
      </c>
      <c r="S378" t="s">
        <v>80</v>
      </c>
      <c r="T378">
        <v>2</v>
      </c>
      <c r="U378" t="s">
        <v>64</v>
      </c>
      <c r="V378" t="s">
        <v>77</v>
      </c>
      <c r="W378">
        <v>0</v>
      </c>
      <c r="X378">
        <v>0</v>
      </c>
      <c r="Y378">
        <v>65</v>
      </c>
      <c r="Z378">
        <v>113</v>
      </c>
      <c r="AA378">
        <v>120</v>
      </c>
      <c r="AB378">
        <v>2000</v>
      </c>
      <c r="AC378">
        <v>1516</v>
      </c>
      <c r="AD378">
        <v>872</v>
      </c>
      <c r="AE378">
        <v>644</v>
      </c>
      <c r="AF378">
        <v>0</v>
      </c>
      <c r="AG378">
        <v>0</v>
      </c>
      <c r="AH378">
        <v>276</v>
      </c>
      <c r="AI378">
        <v>0</v>
      </c>
      <c r="AJ378">
        <v>0</v>
      </c>
      <c r="AK378">
        <v>0</v>
      </c>
      <c r="AL378">
        <v>192</v>
      </c>
      <c r="AM378">
        <v>0</v>
      </c>
      <c r="AN378">
        <v>160</v>
      </c>
      <c r="AO378">
        <v>0</v>
      </c>
      <c r="AP378">
        <v>6</v>
      </c>
      <c r="AQ378">
        <v>0</v>
      </c>
      <c r="AR378">
        <v>0</v>
      </c>
      <c r="AS378" t="s">
        <v>59</v>
      </c>
      <c r="AT378">
        <v>1</v>
      </c>
      <c r="AU378" t="s">
        <v>60</v>
      </c>
      <c r="AV378" t="s">
        <v>61</v>
      </c>
      <c r="AW378">
        <v>0</v>
      </c>
      <c r="AX378">
        <v>5</v>
      </c>
      <c r="AY378">
        <v>0</v>
      </c>
      <c r="AZ378">
        <v>0</v>
      </c>
      <c r="BA378">
        <v>100</v>
      </c>
      <c r="BB378">
        <v>100</v>
      </c>
      <c r="BC378">
        <v>100</v>
      </c>
      <c r="BD378">
        <v>100</v>
      </c>
      <c r="BE378">
        <v>1</v>
      </c>
      <c r="BF378">
        <v>15000</v>
      </c>
      <c r="BG378">
        <v>1000</v>
      </c>
      <c r="BH378" s="8">
        <f>Granger_Inventory[[#This Row],[land_extract]]*Lookups!$B$3</f>
        <v>37132.523746897263</v>
      </c>
      <c r="BI378" s="8">
        <f>IF(Granger_Inventory[[#This Row],[bldg_style]]="",0,Lookups!$B$2)</f>
        <v>29703.559000000001</v>
      </c>
      <c r="BJ378" s="8">
        <f>_xlfn.IFNA(VLOOKUP(Granger_Inventory[[#This Row],[quality]],Lookups!$H$2:$J$14,3,FALSE),0)</f>
        <v>36568</v>
      </c>
      <c r="BK378" s="8">
        <f>_xlfn.IFNA(VLOOKUP(Granger_Inventory[[#This Row],[condition]],Lookups!$H$17:$J$24,3,FALSE),0)</f>
        <v>33736</v>
      </c>
      <c r="BL378" s="8">
        <f>Granger_Inventory[[#This Row],[Age]]*Lookups!$B$16</f>
        <v>-23428.4143</v>
      </c>
      <c r="BM378" s="8">
        <f>Granger_Inventory[[#This Row],[living_area]]*Lookups!$B$17</f>
        <v>101985.730044</v>
      </c>
      <c r="BN378" s="8">
        <f>(Granger_Inventory[[#This Row],[att_gar]]+Granger_Inventory[[#This Row],[blt_gar]])*Lookups!$B$18</f>
        <v>0</v>
      </c>
      <c r="BO378" s="8">
        <f>Granger_Inventory[[#This Row],[Patio]]*Lookups!$B$19</f>
        <v>0</v>
      </c>
      <c r="BP378" s="8">
        <f>SUM(Granger_Inventory[[#This Row],[Intercept]:[Patio_Value]])*Granger_Inventory[[#This Row],[res_pct]]</f>
        <v>178564.874744</v>
      </c>
      <c r="BQ378" s="8">
        <f>Granger_Inventory[[#This Row],[land_value]]</f>
        <v>37132.523746897263</v>
      </c>
      <c r="BR378" s="4">
        <f>_xlfn.IFNA(VLOOKUP(Granger_Inventory[[#This Row],[quality]],Lookups!$A$25:$C$35,3,FALSE),1)</f>
        <v>0.99049976351917957</v>
      </c>
      <c r="BS378" s="4">
        <f>_xlfn.IFNA(VLOOKUP(Granger_Inventory[[#This Row],[condition]],Lookups!$A$38:$C$45,3,FALSE),1)</f>
        <v>0.92294678898076177</v>
      </c>
      <c r="BT378" s="4">
        <f>IF(Granger_Inventory[[#This Row],[decade]]="",1,_xlfn.IFNA(VLOOKUP(Granger_Inventory[[#This Row],[decade]],Lookups!$G$28:$I$42,3,FALSE),1))</f>
        <v>0.879441629375324</v>
      </c>
      <c r="BU378" s="4">
        <f>_xlfn.IFNA(VLOOKUP(Granger_Inventory[[#This Row],[living_area_range]],Lookups!$A$48:$C$57,3,FALSE),1)</f>
        <v>0.97860968051050168</v>
      </c>
      <c r="BV378" s="4">
        <f>AVERAGE(Granger_Inventory[[#This Row],[qual_adj]:[living_range_adj]])</f>
        <v>0.94287446559644184</v>
      </c>
      <c r="BW378" s="8">
        <f>(Granger_Inventory[[#This Row],[sum_land]]-IF(Granger_Inventory[[#This Row],[no_utilities]]=1,12000,0))/IF(Granger_Inventory[[#This Row],[unbuildable]]=1,2,1)</f>
        <v>37132.523746897263</v>
      </c>
      <c r="BX378" s="8">
        <f>Granger_Inventory[[#This Row],[pre_res]]*Granger_Inventory[[#This Row],[overall_adj]]</f>
        <v>168364.26084854457</v>
      </c>
      <c r="BY378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378">
        <f>ROUND(Granger_Inventory[[#This Row],[detatched_value]]*Lookups!$I$45,-2)</f>
        <v>0</v>
      </c>
      <c r="CA378">
        <f>IF(ROUND(Granger_Inventory[[#This Row],[adj_res]]*Lookups!$I$45,-2)&lt;Granger_Inventory[[#This Row],[min_res]],Granger_Inventory[[#This Row],[min_res]],ROUND(Granger_Inventory[[#This Row],[adj_res]]*Lookups!$I$45,-2))</f>
        <v>159900</v>
      </c>
      <c r="CB378">
        <f>Granger_Inventory[[#This Row],[final_det]]+Granger_Inventory[[#This Row],[final_res]]</f>
        <v>159900</v>
      </c>
      <c r="CC378">
        <f>Granger_Inventory[[#This Row],[final_land]]+Granger_Inventory[[#This Row],[final_imp]]+Granger_Inventory[[#This Row],[crop_value]]</f>
        <v>195200</v>
      </c>
      <c r="CE378" t="str">
        <f t="shared" si="5"/>
        <v>update valuation set market_land =35300, market_bldg=159900, market_total =195200, market_mdno =402, market_date ='9/10/2023' where link_id = (select link_id from parcel where parcel_year = '2024' and parcel_id = '21102113483');</v>
      </c>
    </row>
    <row r="379" spans="1:83" x14ac:dyDescent="0.25">
      <c r="A379">
        <v>21102113484</v>
      </c>
      <c r="B379">
        <v>0.22</v>
      </c>
      <c r="C379">
        <v>9374</v>
      </c>
      <c r="D379" t="s">
        <v>137</v>
      </c>
      <c r="E379" t="s">
        <v>54</v>
      </c>
      <c r="F379" t="s">
        <v>54</v>
      </c>
      <c r="G379">
        <v>3</v>
      </c>
      <c r="H379" t="s">
        <v>55</v>
      </c>
      <c r="I379">
        <v>108300</v>
      </c>
      <c r="J379">
        <v>28600</v>
      </c>
      <c r="K379">
        <v>0.22</v>
      </c>
      <c r="L379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379">
        <v>0</v>
      </c>
      <c r="N379">
        <v>0</v>
      </c>
      <c r="O379">
        <v>0</v>
      </c>
      <c r="P379">
        <v>47108.068500000001</v>
      </c>
      <c r="Q379">
        <v>122298</v>
      </c>
      <c r="R379">
        <f>(Granger_Inventory[[#This Row],[ln_acres]]*Granger_Inventory[[#This Row],[coeff]])+Granger_Inventory[[#This Row],[const]]</f>
        <v>50970.367053526847</v>
      </c>
      <c r="S379" t="s">
        <v>66</v>
      </c>
      <c r="T379">
        <v>1</v>
      </c>
      <c r="U379" t="s">
        <v>71</v>
      </c>
      <c r="V379" t="s">
        <v>77</v>
      </c>
      <c r="W379">
        <v>0</v>
      </c>
      <c r="X379">
        <v>0</v>
      </c>
      <c r="Y379">
        <v>57</v>
      </c>
      <c r="Z379">
        <v>103</v>
      </c>
      <c r="AA379">
        <v>110</v>
      </c>
      <c r="AB379">
        <v>1000</v>
      </c>
      <c r="AC379">
        <v>954</v>
      </c>
      <c r="AD379">
        <v>954</v>
      </c>
      <c r="AE379">
        <v>0</v>
      </c>
      <c r="AF379">
        <v>0</v>
      </c>
      <c r="AG379">
        <v>0</v>
      </c>
      <c r="AH379">
        <v>954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182</v>
      </c>
      <c r="AO379">
        <v>0</v>
      </c>
      <c r="AP379">
        <v>5</v>
      </c>
      <c r="AQ379">
        <v>0</v>
      </c>
      <c r="AR379">
        <v>1</v>
      </c>
      <c r="AS379" t="s">
        <v>59</v>
      </c>
      <c r="AT379">
        <v>1</v>
      </c>
      <c r="AU379" t="s">
        <v>68</v>
      </c>
      <c r="AV379" t="s">
        <v>65</v>
      </c>
      <c r="AW379">
        <v>0</v>
      </c>
      <c r="AX379">
        <v>3</v>
      </c>
      <c r="AY379">
        <v>0</v>
      </c>
      <c r="AZ379">
        <v>0</v>
      </c>
      <c r="BA379">
        <v>100</v>
      </c>
      <c r="BB379">
        <v>100</v>
      </c>
      <c r="BC379">
        <v>100</v>
      </c>
      <c r="BD379">
        <v>100</v>
      </c>
      <c r="BE379">
        <v>1</v>
      </c>
      <c r="BF379">
        <v>15000</v>
      </c>
      <c r="BG379">
        <v>1000</v>
      </c>
      <c r="BH379" s="8">
        <f>Granger_Inventory[[#This Row],[land_extract]]*Lookups!$B$3</f>
        <v>30364.617541091193</v>
      </c>
      <c r="BI379" s="8">
        <f>IF(Granger_Inventory[[#This Row],[bldg_style]]="",0,Lookups!$B$2)</f>
        <v>29703.559000000001</v>
      </c>
      <c r="BJ379" s="8">
        <f>_xlfn.IFNA(VLOOKUP(Granger_Inventory[[#This Row],[quality]],Lookups!$H$2:$J$14,3,FALSE),0)</f>
        <v>34195</v>
      </c>
      <c r="BK379" s="8">
        <f>_xlfn.IFNA(VLOOKUP(Granger_Inventory[[#This Row],[condition]],Lookups!$H$17:$J$24,3,FALSE),0)</f>
        <v>33736</v>
      </c>
      <c r="BL379" s="8">
        <f>Granger_Inventory[[#This Row],[Age]]*Lookups!$B$16</f>
        <v>-21355.103299999999</v>
      </c>
      <c r="BM379" s="8">
        <f>Granger_Inventory[[#This Row],[living_area]]*Lookups!$B$17</f>
        <v>64178.355186000001</v>
      </c>
      <c r="BN379" s="8">
        <f>(Granger_Inventory[[#This Row],[att_gar]]+Granger_Inventory[[#This Row],[blt_gar]])*Lookups!$B$18</f>
        <v>0</v>
      </c>
      <c r="BO379" s="8">
        <f>Granger_Inventory[[#This Row],[Patio]]*Lookups!$B$19</f>
        <v>0</v>
      </c>
      <c r="BP379" s="8">
        <f>SUM(Granger_Inventory[[#This Row],[Intercept]:[Patio_Value]])*Granger_Inventory[[#This Row],[res_pct]]</f>
        <v>140457.81088599999</v>
      </c>
      <c r="BQ379" s="8">
        <f>Granger_Inventory[[#This Row],[land_value]]</f>
        <v>30364.617541091193</v>
      </c>
      <c r="BR379" s="4">
        <f>_xlfn.IFNA(VLOOKUP(Granger_Inventory[[#This Row],[quality]],Lookups!$A$25:$C$35,3,FALSE),1)</f>
        <v>0.98258795897788032</v>
      </c>
      <c r="BS379" s="4">
        <f>_xlfn.IFNA(VLOOKUP(Granger_Inventory[[#This Row],[condition]],Lookups!$A$38:$C$45,3,FALSE),1)</f>
        <v>0.92294678898076177</v>
      </c>
      <c r="BT379" s="4">
        <f>IF(Granger_Inventory[[#This Row],[decade]]="",1,_xlfn.IFNA(VLOOKUP(Granger_Inventory[[#This Row],[decade]],Lookups!$G$28:$I$42,3,FALSE),1))</f>
        <v>0.879441629375324</v>
      </c>
      <c r="BU379" s="4">
        <f>_xlfn.IFNA(VLOOKUP(Granger_Inventory[[#This Row],[living_area_range]],Lookups!$A$48:$C$57,3,FALSE),1)</f>
        <v>0.81272404900450645</v>
      </c>
      <c r="BV379" s="4">
        <f>AVERAGE(Granger_Inventory[[#This Row],[qual_adj]:[living_range_adj]])</f>
        <v>0.89942510658461816</v>
      </c>
      <c r="BW379" s="8">
        <f>(Granger_Inventory[[#This Row],[sum_land]]-IF(Granger_Inventory[[#This Row],[no_utilities]]=1,12000,0))/IF(Granger_Inventory[[#This Row],[unbuildable]]=1,2,1)</f>
        <v>30364.617541091193</v>
      </c>
      <c r="BX379" s="8">
        <f>Granger_Inventory[[#This Row],[pre_res]]*Granger_Inventory[[#This Row],[overall_adj]]</f>
        <v>126331.28152678268</v>
      </c>
      <c r="BY379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379">
        <f>ROUND(Granger_Inventory[[#This Row],[detatched_value]]*Lookups!$I$45,-2)</f>
        <v>0</v>
      </c>
      <c r="CA379">
        <f>IF(ROUND(Granger_Inventory[[#This Row],[adj_res]]*Lookups!$I$45,-2)&lt;Granger_Inventory[[#This Row],[min_res]],Granger_Inventory[[#This Row],[min_res]],ROUND(Granger_Inventory[[#This Row],[adj_res]]*Lookups!$I$45,-2))</f>
        <v>120000</v>
      </c>
      <c r="CB379">
        <f>Granger_Inventory[[#This Row],[final_det]]+Granger_Inventory[[#This Row],[final_res]]</f>
        <v>120000</v>
      </c>
      <c r="CC379">
        <f>Granger_Inventory[[#This Row],[final_land]]+Granger_Inventory[[#This Row],[final_imp]]+Granger_Inventory[[#This Row],[crop_value]]</f>
        <v>148800</v>
      </c>
      <c r="CE379" t="str">
        <f t="shared" si="5"/>
        <v>update valuation set market_land =28800, market_bldg=120000, market_total =148800, market_mdno =402, market_date ='9/10/2023' where link_id = (select link_id from parcel where parcel_year = '2024' and parcel_id = '21102113484');</v>
      </c>
    </row>
    <row r="380" spans="1:83" x14ac:dyDescent="0.25">
      <c r="A380">
        <v>21102113506</v>
      </c>
      <c r="B380">
        <v>0.1</v>
      </c>
      <c r="C380">
        <v>4512</v>
      </c>
      <c r="D380" t="s">
        <v>137</v>
      </c>
      <c r="E380" t="s">
        <v>54</v>
      </c>
      <c r="F380" t="s">
        <v>54</v>
      </c>
      <c r="G380">
        <v>3</v>
      </c>
      <c r="H380" t="s">
        <v>55</v>
      </c>
      <c r="I380">
        <v>187600</v>
      </c>
      <c r="J380">
        <v>23900</v>
      </c>
      <c r="K380">
        <v>0.1</v>
      </c>
      <c r="L380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380">
        <v>0</v>
      </c>
      <c r="N380">
        <v>0</v>
      </c>
      <c r="O380">
        <v>0</v>
      </c>
      <c r="P380">
        <v>47108.068500000001</v>
      </c>
      <c r="Q380">
        <v>122298</v>
      </c>
      <c r="R380">
        <f>(Granger_Inventory[[#This Row],[ln_acres]]*Granger_Inventory[[#This Row],[coeff]])+Granger_Inventory[[#This Row],[const]]</f>
        <v>13827.663712157635</v>
      </c>
      <c r="S380" t="s">
        <v>69</v>
      </c>
      <c r="T380">
        <v>1</v>
      </c>
      <c r="U380" t="s">
        <v>64</v>
      </c>
      <c r="V380" t="s">
        <v>70</v>
      </c>
      <c r="W380">
        <v>0</v>
      </c>
      <c r="X380">
        <v>0</v>
      </c>
      <c r="Y380">
        <v>21</v>
      </c>
      <c r="Z380">
        <v>83</v>
      </c>
      <c r="AA380">
        <v>90</v>
      </c>
      <c r="AB380">
        <v>1500</v>
      </c>
      <c r="AC380">
        <v>1139</v>
      </c>
      <c r="AD380">
        <v>1139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15</v>
      </c>
      <c r="AO380">
        <v>0</v>
      </c>
      <c r="AP380">
        <v>5</v>
      </c>
      <c r="AQ380">
        <v>0</v>
      </c>
      <c r="AR380">
        <v>0</v>
      </c>
      <c r="AS380" t="s">
        <v>59</v>
      </c>
      <c r="AT380">
        <v>1</v>
      </c>
      <c r="AU380" t="s">
        <v>60</v>
      </c>
      <c r="AV380" t="s">
        <v>61</v>
      </c>
      <c r="AW380">
        <v>0</v>
      </c>
      <c r="AX380">
        <v>2</v>
      </c>
      <c r="AY380">
        <v>0</v>
      </c>
      <c r="AZ380">
        <v>2900</v>
      </c>
      <c r="BA380">
        <v>100</v>
      </c>
      <c r="BB380">
        <v>100</v>
      </c>
      <c r="BC380">
        <v>100</v>
      </c>
      <c r="BD380">
        <v>100</v>
      </c>
      <c r="BE380">
        <v>1</v>
      </c>
      <c r="BF380">
        <v>15000</v>
      </c>
      <c r="BG380">
        <v>1000</v>
      </c>
      <c r="BH380" s="8">
        <f>Granger_Inventory[[#This Row],[land_extract]]*Lookups!$B$3</f>
        <v>8237.5651653746372</v>
      </c>
      <c r="BI380" s="8">
        <f>IF(Granger_Inventory[[#This Row],[bldg_style]]="",0,Lookups!$B$2)</f>
        <v>29703.559000000001</v>
      </c>
      <c r="BJ380" s="8">
        <f>_xlfn.IFNA(VLOOKUP(Granger_Inventory[[#This Row],[quality]],Lookups!$H$2:$J$14,3,FALSE),0)</f>
        <v>36568</v>
      </c>
      <c r="BK380" s="8">
        <f>_xlfn.IFNA(VLOOKUP(Granger_Inventory[[#This Row],[condition]],Lookups!$H$17:$J$24,3,FALSE),0)</f>
        <v>80695</v>
      </c>
      <c r="BL380" s="8">
        <f>Granger_Inventory[[#This Row],[Age]]*Lookups!$B$16</f>
        <v>-17208.481299999999</v>
      </c>
      <c r="BM380" s="8">
        <f>Granger_Inventory[[#This Row],[living_area]]*Lookups!$B$17</f>
        <v>76623.843351000003</v>
      </c>
      <c r="BN380" s="8">
        <f>(Granger_Inventory[[#This Row],[att_gar]]+Granger_Inventory[[#This Row],[blt_gar]])*Lookups!$B$18</f>
        <v>0</v>
      </c>
      <c r="BO380" s="8">
        <f>Granger_Inventory[[#This Row],[Patio]]*Lookups!$B$19</f>
        <v>0</v>
      </c>
      <c r="BP380" s="8">
        <f>SUM(Granger_Inventory[[#This Row],[Intercept]:[Patio_Value]])*Granger_Inventory[[#This Row],[res_pct]]</f>
        <v>206381.92105100001</v>
      </c>
      <c r="BQ380" s="8">
        <f>Granger_Inventory[[#This Row],[land_value]]</f>
        <v>8237.5651653746372</v>
      </c>
      <c r="BR380" s="4">
        <f>_xlfn.IFNA(VLOOKUP(Granger_Inventory[[#This Row],[quality]],Lookups!$A$25:$C$35,3,FALSE),1)</f>
        <v>0.99049976351917957</v>
      </c>
      <c r="BS380" s="4">
        <f>_xlfn.IFNA(VLOOKUP(Granger_Inventory[[#This Row],[condition]],Lookups!$A$38:$C$45,3,FALSE),1)</f>
        <v>0.99484195314749324</v>
      </c>
      <c r="BT380" s="4">
        <f>IF(Granger_Inventory[[#This Row],[decade]]="",1,_xlfn.IFNA(VLOOKUP(Granger_Inventory[[#This Row],[decade]],Lookups!$G$28:$I$42,3,FALSE),1))</f>
        <v>0.95234610137492615</v>
      </c>
      <c r="BU380" s="4">
        <f>_xlfn.IFNA(VLOOKUP(Granger_Inventory[[#This Row],[living_area_range]],Lookups!$A$48:$C$57,3,FALSE),1)</f>
        <v>0.97960506760539345</v>
      </c>
      <c r="BV380" s="4">
        <f>AVERAGE(Granger_Inventory[[#This Row],[qual_adj]:[living_range_adj]])</f>
        <v>0.9793232214117481</v>
      </c>
      <c r="BW380" s="8">
        <f>(Granger_Inventory[[#This Row],[sum_land]]-IF(Granger_Inventory[[#This Row],[no_utilities]]=1,12000,0))/IF(Granger_Inventory[[#This Row],[unbuildable]]=1,2,1)</f>
        <v>8237.5651653746372</v>
      </c>
      <c r="BX380" s="8">
        <f>Granger_Inventory[[#This Row],[pre_res]]*Granger_Inventory[[#This Row],[overall_adj]]</f>
        <v>202114.60776481041</v>
      </c>
      <c r="BY380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0">
        <f>ROUND(Granger_Inventory[[#This Row],[detatched_value]]*Lookups!$I$45,-2)</f>
        <v>2800</v>
      </c>
      <c r="CA380">
        <f>IF(ROUND(Granger_Inventory[[#This Row],[adj_res]]*Lookups!$I$45,-2)&lt;Granger_Inventory[[#This Row],[min_res]],Granger_Inventory[[#This Row],[min_res]],ROUND(Granger_Inventory[[#This Row],[adj_res]]*Lookups!$I$45,-2))</f>
        <v>192000</v>
      </c>
      <c r="CB380">
        <f>Granger_Inventory[[#This Row],[final_det]]+Granger_Inventory[[#This Row],[final_res]]</f>
        <v>194800</v>
      </c>
      <c r="CC380">
        <f>Granger_Inventory[[#This Row],[final_land]]+Granger_Inventory[[#This Row],[final_imp]]+Granger_Inventory[[#This Row],[crop_value]]</f>
        <v>209800</v>
      </c>
      <c r="CE380" t="str">
        <f t="shared" si="5"/>
        <v>update valuation set market_land =15000, market_bldg=194800, market_total =209800, market_mdno =402, market_date ='9/10/2023' where link_id = (select link_id from parcel where parcel_year = '2024' and parcel_id = '21102113506');</v>
      </c>
    </row>
    <row r="381" spans="1:83" x14ac:dyDescent="0.25">
      <c r="A381">
        <v>21102113507</v>
      </c>
      <c r="B381">
        <v>0.13</v>
      </c>
      <c r="C381">
        <v>5652</v>
      </c>
      <c r="D381" t="s">
        <v>137</v>
      </c>
      <c r="E381" t="s">
        <v>54</v>
      </c>
      <c r="F381" t="s">
        <v>54</v>
      </c>
      <c r="G381">
        <v>3</v>
      </c>
      <c r="H381" t="s">
        <v>55</v>
      </c>
      <c r="I381">
        <v>114500</v>
      </c>
      <c r="J381">
        <v>25500</v>
      </c>
      <c r="K381">
        <v>0.13</v>
      </c>
      <c r="L381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81">
        <v>0</v>
      </c>
      <c r="N381">
        <v>0</v>
      </c>
      <c r="O381">
        <v>0</v>
      </c>
      <c r="P381">
        <v>47108.068500000001</v>
      </c>
      <c r="Q381">
        <v>122298</v>
      </c>
      <c r="R381">
        <f>(Granger_Inventory[[#This Row],[ln_acres]]*Granger_Inventory[[#This Row],[coeff]])+Granger_Inventory[[#This Row],[const]]</f>
        <v>26187.137454644311</v>
      </c>
      <c r="S381" t="s">
        <v>69</v>
      </c>
      <c r="T381">
        <v>1</v>
      </c>
      <c r="U381" t="s">
        <v>71</v>
      </c>
      <c r="V381" t="s">
        <v>77</v>
      </c>
      <c r="W381">
        <v>0</v>
      </c>
      <c r="X381">
        <v>0</v>
      </c>
      <c r="Y381">
        <v>50</v>
      </c>
      <c r="Z381">
        <v>73</v>
      </c>
      <c r="AA381">
        <v>80</v>
      </c>
      <c r="AB381">
        <v>1500</v>
      </c>
      <c r="AC381">
        <v>1115</v>
      </c>
      <c r="AD381">
        <v>1115</v>
      </c>
      <c r="AE381">
        <v>0</v>
      </c>
      <c r="AF381">
        <v>0</v>
      </c>
      <c r="AG381">
        <v>0</v>
      </c>
      <c r="AH381">
        <v>0</v>
      </c>
      <c r="AI381">
        <v>330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5</v>
      </c>
      <c r="AQ381">
        <v>0</v>
      </c>
      <c r="AR381">
        <v>0</v>
      </c>
      <c r="AS381" t="s">
        <v>59</v>
      </c>
      <c r="AT381">
        <v>1</v>
      </c>
      <c r="AU381" t="s">
        <v>60</v>
      </c>
      <c r="AV381" t="s">
        <v>61</v>
      </c>
      <c r="AW381">
        <v>0</v>
      </c>
      <c r="AX381">
        <v>2</v>
      </c>
      <c r="AY381">
        <v>0</v>
      </c>
      <c r="AZ381">
        <v>0</v>
      </c>
      <c r="BA381">
        <v>100</v>
      </c>
      <c r="BB381">
        <v>100</v>
      </c>
      <c r="BC381">
        <v>100</v>
      </c>
      <c r="BD381">
        <v>100</v>
      </c>
      <c r="BE381">
        <v>1</v>
      </c>
      <c r="BF381">
        <v>15000</v>
      </c>
      <c r="BG381">
        <v>1000</v>
      </c>
      <c r="BH381" s="8">
        <f>Granger_Inventory[[#This Row],[land_extract]]*Lookups!$B$3</f>
        <v>15600.484345565219</v>
      </c>
      <c r="BI381" s="8">
        <f>IF(Granger_Inventory[[#This Row],[bldg_style]]="",0,Lookups!$B$2)</f>
        <v>29703.559000000001</v>
      </c>
      <c r="BJ381" s="8">
        <f>_xlfn.IFNA(VLOOKUP(Granger_Inventory[[#This Row],[quality]],Lookups!$H$2:$J$14,3,FALSE),0)</f>
        <v>34195</v>
      </c>
      <c r="BK381" s="8">
        <f>_xlfn.IFNA(VLOOKUP(Granger_Inventory[[#This Row],[condition]],Lookups!$H$17:$J$24,3,FALSE),0)</f>
        <v>33736</v>
      </c>
      <c r="BL381" s="8">
        <f>Granger_Inventory[[#This Row],[Age]]*Lookups!$B$16</f>
        <v>-15135.1703</v>
      </c>
      <c r="BM381" s="8">
        <f>Granger_Inventory[[#This Row],[living_area]]*Lookups!$B$17</f>
        <v>75009.293535000004</v>
      </c>
      <c r="BN381" s="8">
        <f>(Granger_Inventory[[#This Row],[att_gar]]+Granger_Inventory[[#This Row],[blt_gar]])*Lookups!$B$18</f>
        <v>15987.703380000001</v>
      </c>
      <c r="BO381" s="8">
        <f>Granger_Inventory[[#This Row],[Patio]]*Lookups!$B$19</f>
        <v>0</v>
      </c>
      <c r="BP381" s="8">
        <f>SUM(Granger_Inventory[[#This Row],[Intercept]:[Patio_Value]])*Granger_Inventory[[#This Row],[res_pct]]</f>
        <v>173496.38561500001</v>
      </c>
      <c r="BQ381" s="8">
        <f>Granger_Inventory[[#This Row],[land_value]]</f>
        <v>15600.484345565219</v>
      </c>
      <c r="BR381" s="4">
        <f>_xlfn.IFNA(VLOOKUP(Granger_Inventory[[#This Row],[quality]],Lookups!$A$25:$C$35,3,FALSE),1)</f>
        <v>0.98258795897788032</v>
      </c>
      <c r="BS381" s="4">
        <f>_xlfn.IFNA(VLOOKUP(Granger_Inventory[[#This Row],[condition]],Lookups!$A$38:$C$45,3,FALSE),1)</f>
        <v>0.92294678898076177</v>
      </c>
      <c r="BT381" s="4">
        <f>IF(Granger_Inventory[[#This Row],[decade]]="",1,_xlfn.IFNA(VLOOKUP(Granger_Inventory[[#This Row],[decade]],Lookups!$G$28:$I$42,3,FALSE),1))</f>
        <v>0.76006056002554967</v>
      </c>
      <c r="BU381" s="4">
        <f>_xlfn.IFNA(VLOOKUP(Granger_Inventory[[#This Row],[living_area_range]],Lookups!$A$48:$C$57,3,FALSE),1)</f>
        <v>0.97960506760539345</v>
      </c>
      <c r="BV381" s="4">
        <f>AVERAGE(Granger_Inventory[[#This Row],[qual_adj]:[living_range_adj]])</f>
        <v>0.9113000938973963</v>
      </c>
      <c r="BW381" s="8">
        <f>(Granger_Inventory[[#This Row],[sum_land]]-IF(Granger_Inventory[[#This Row],[no_utilities]]=1,12000,0))/IF(Granger_Inventory[[#This Row],[unbuildable]]=1,2,1)</f>
        <v>15600.484345565219</v>
      </c>
      <c r="BX381" s="8">
        <f>Granger_Inventory[[#This Row],[pre_res]]*Granger_Inventory[[#This Row],[overall_adj]]</f>
        <v>158107.27250180839</v>
      </c>
      <c r="BY381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1">
        <f>ROUND(Granger_Inventory[[#This Row],[detatched_value]]*Lookups!$I$45,-2)</f>
        <v>0</v>
      </c>
      <c r="CA381">
        <f>IF(ROUND(Granger_Inventory[[#This Row],[adj_res]]*Lookups!$I$45,-2)&lt;Granger_Inventory[[#This Row],[min_res]],Granger_Inventory[[#This Row],[min_res]],ROUND(Granger_Inventory[[#This Row],[adj_res]]*Lookups!$I$45,-2))</f>
        <v>150200</v>
      </c>
      <c r="CB381">
        <f>Granger_Inventory[[#This Row],[final_det]]+Granger_Inventory[[#This Row],[final_res]]</f>
        <v>150200</v>
      </c>
      <c r="CC381">
        <f>Granger_Inventory[[#This Row],[final_land]]+Granger_Inventory[[#This Row],[final_imp]]+Granger_Inventory[[#This Row],[crop_value]]</f>
        <v>165200</v>
      </c>
      <c r="CE381" t="str">
        <f t="shared" si="5"/>
        <v>update valuation set market_land =15000, market_bldg=150200, market_total =165200, market_mdno =402, market_date ='9/10/2023' where link_id = (select link_id from parcel where parcel_year = '2024' and parcel_id = '21102113507');</v>
      </c>
    </row>
    <row r="382" spans="1:83" x14ac:dyDescent="0.25">
      <c r="A382">
        <v>21102113508</v>
      </c>
      <c r="B382">
        <v>0.13</v>
      </c>
      <c r="C382">
        <v>5872</v>
      </c>
      <c r="D382" t="s">
        <v>137</v>
      </c>
      <c r="E382" t="s">
        <v>54</v>
      </c>
      <c r="F382" t="s">
        <v>54</v>
      </c>
      <c r="G382">
        <v>3</v>
      </c>
      <c r="H382" t="s">
        <v>55</v>
      </c>
      <c r="I382">
        <v>170200</v>
      </c>
      <c r="J382">
        <v>25500</v>
      </c>
      <c r="K382">
        <v>0.13</v>
      </c>
      <c r="L382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82">
        <v>0</v>
      </c>
      <c r="N382">
        <v>0</v>
      </c>
      <c r="O382">
        <v>0</v>
      </c>
      <c r="P382">
        <v>47108.068500000001</v>
      </c>
      <c r="Q382">
        <v>122298</v>
      </c>
      <c r="R382">
        <f>(Granger_Inventory[[#This Row],[ln_acres]]*Granger_Inventory[[#This Row],[coeff]])+Granger_Inventory[[#This Row],[const]]</f>
        <v>26187.137454644311</v>
      </c>
      <c r="S382" t="s">
        <v>66</v>
      </c>
      <c r="T382">
        <v>1</v>
      </c>
      <c r="U382" t="s">
        <v>78</v>
      </c>
      <c r="V382" t="s">
        <v>77</v>
      </c>
      <c r="W382">
        <v>0</v>
      </c>
      <c r="X382">
        <v>0</v>
      </c>
      <c r="Y382">
        <v>55</v>
      </c>
      <c r="Z382">
        <v>98</v>
      </c>
      <c r="AA382">
        <v>100</v>
      </c>
      <c r="AB382">
        <v>1500</v>
      </c>
      <c r="AC382">
        <v>1340</v>
      </c>
      <c r="AD382">
        <v>1340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5</v>
      </c>
      <c r="AQ382">
        <v>0</v>
      </c>
      <c r="AR382">
        <v>0</v>
      </c>
      <c r="AS382" t="s">
        <v>59</v>
      </c>
      <c r="AT382">
        <v>1</v>
      </c>
      <c r="AU382" t="s">
        <v>76</v>
      </c>
      <c r="AV382" t="s">
        <v>61</v>
      </c>
      <c r="AW382">
        <v>0</v>
      </c>
      <c r="AX382">
        <v>5</v>
      </c>
      <c r="AY382">
        <v>0</v>
      </c>
      <c r="AZ382">
        <v>0</v>
      </c>
      <c r="BA382">
        <v>100</v>
      </c>
      <c r="BB382">
        <v>100</v>
      </c>
      <c r="BC382">
        <v>100</v>
      </c>
      <c r="BD382">
        <v>100</v>
      </c>
      <c r="BE382">
        <v>1</v>
      </c>
      <c r="BF382">
        <v>15000</v>
      </c>
      <c r="BG382">
        <v>1000</v>
      </c>
      <c r="BH382" s="8">
        <f>Granger_Inventory[[#This Row],[land_extract]]*Lookups!$B$3</f>
        <v>15600.484345565219</v>
      </c>
      <c r="BI382" s="8">
        <f>IF(Granger_Inventory[[#This Row],[bldg_style]]="",0,Lookups!$B$2)</f>
        <v>29703.559000000001</v>
      </c>
      <c r="BJ382" s="8">
        <f>_xlfn.IFNA(VLOOKUP(Granger_Inventory[[#This Row],[quality]],Lookups!$H$2:$J$14,3,FALSE),0)</f>
        <v>23737.786340274597</v>
      </c>
      <c r="BK382" s="8">
        <f>_xlfn.IFNA(VLOOKUP(Granger_Inventory[[#This Row],[condition]],Lookups!$H$17:$J$24,3,FALSE),0)</f>
        <v>33736</v>
      </c>
      <c r="BL382" s="8">
        <f>Granger_Inventory[[#This Row],[Age]]*Lookups!$B$16</f>
        <v>-20318.447799999998</v>
      </c>
      <c r="BM382" s="8">
        <f>Granger_Inventory[[#This Row],[living_area]]*Lookups!$B$17</f>
        <v>90145.698059999995</v>
      </c>
      <c r="BN382" s="8">
        <f>(Granger_Inventory[[#This Row],[att_gar]]+Granger_Inventory[[#This Row],[blt_gar]])*Lookups!$B$18</f>
        <v>0</v>
      </c>
      <c r="BO382" s="8">
        <f>Granger_Inventory[[#This Row],[Patio]]*Lookups!$B$19</f>
        <v>0</v>
      </c>
      <c r="BP382" s="8">
        <f>SUM(Granger_Inventory[[#This Row],[Intercept]:[Patio_Value]])*Granger_Inventory[[#This Row],[res_pct]]</f>
        <v>157004.5956002746</v>
      </c>
      <c r="BQ382" s="8">
        <f>Granger_Inventory[[#This Row],[land_value]]</f>
        <v>15600.484345565219</v>
      </c>
      <c r="BR382" s="4">
        <f>_xlfn.IFNA(VLOOKUP(Granger_Inventory[[#This Row],[quality]],Lookups!$A$25:$C$35,3,FALSE),1)</f>
        <v>0.77695375541795109</v>
      </c>
      <c r="BS382" s="4">
        <f>_xlfn.IFNA(VLOOKUP(Granger_Inventory[[#This Row],[condition]],Lookups!$A$38:$C$45,3,FALSE),1)</f>
        <v>0.92294678898076177</v>
      </c>
      <c r="BT382" s="4">
        <f>IF(Granger_Inventory[[#This Row],[decade]]="",1,_xlfn.IFNA(VLOOKUP(Granger_Inventory[[#This Row],[decade]],Lookups!$G$28:$I$42,3,FALSE),1))</f>
        <v>0.879441629375324</v>
      </c>
      <c r="BU382" s="4">
        <f>_xlfn.IFNA(VLOOKUP(Granger_Inventory[[#This Row],[living_area_range]],Lookups!$A$48:$C$57,3,FALSE),1)</f>
        <v>0.97960506760539345</v>
      </c>
      <c r="BV382" s="4">
        <f>AVERAGE(Granger_Inventory[[#This Row],[qual_adj]:[living_range_adj]])</f>
        <v>0.88973681034485752</v>
      </c>
      <c r="BW382" s="8">
        <f>(Granger_Inventory[[#This Row],[sum_land]]-IF(Granger_Inventory[[#This Row],[no_utilities]]=1,12000,0))/IF(Granger_Inventory[[#This Row],[unbuildable]]=1,2,1)</f>
        <v>15600.484345565219</v>
      </c>
      <c r="BX382" s="8">
        <f>Granger_Inventory[[#This Row],[pre_res]]*Granger_Inventory[[#This Row],[overall_adj]]</f>
        <v>139692.76809887256</v>
      </c>
      <c r="BY382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2">
        <f>ROUND(Granger_Inventory[[#This Row],[detatched_value]]*Lookups!$I$45,-2)</f>
        <v>0</v>
      </c>
      <c r="CA382">
        <f>IF(ROUND(Granger_Inventory[[#This Row],[adj_res]]*Lookups!$I$45,-2)&lt;Granger_Inventory[[#This Row],[min_res]],Granger_Inventory[[#This Row],[min_res]],ROUND(Granger_Inventory[[#This Row],[adj_res]]*Lookups!$I$45,-2))</f>
        <v>132700</v>
      </c>
      <c r="CB382">
        <f>Granger_Inventory[[#This Row],[final_det]]+Granger_Inventory[[#This Row],[final_res]]</f>
        <v>132700</v>
      </c>
      <c r="CC382">
        <f>Granger_Inventory[[#This Row],[final_land]]+Granger_Inventory[[#This Row],[final_imp]]+Granger_Inventory[[#This Row],[crop_value]]</f>
        <v>147700</v>
      </c>
      <c r="CE382" t="str">
        <f t="shared" si="5"/>
        <v>update valuation set market_land =15000, market_bldg=132700, market_total =147700, market_mdno =402, market_date ='9/10/2023' where link_id = (select link_id from parcel where parcel_year = '2024' and parcel_id = '21102113508');</v>
      </c>
    </row>
    <row r="383" spans="1:83" x14ac:dyDescent="0.25">
      <c r="A383">
        <v>21102113509</v>
      </c>
      <c r="B383">
        <v>0.13</v>
      </c>
      <c r="C383">
        <v>5872</v>
      </c>
      <c r="D383" t="s">
        <v>137</v>
      </c>
      <c r="E383" t="s">
        <v>54</v>
      </c>
      <c r="F383" t="s">
        <v>54</v>
      </c>
      <c r="G383">
        <v>3</v>
      </c>
      <c r="H383" t="s">
        <v>55</v>
      </c>
      <c r="I383">
        <v>120900</v>
      </c>
      <c r="J383">
        <v>25500</v>
      </c>
      <c r="K383">
        <v>0.13</v>
      </c>
      <c r="L383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83">
        <v>0</v>
      </c>
      <c r="N383">
        <v>0</v>
      </c>
      <c r="O383">
        <v>0</v>
      </c>
      <c r="P383">
        <v>47108.068500000001</v>
      </c>
      <c r="Q383">
        <v>122298</v>
      </c>
      <c r="R383">
        <f>(Granger_Inventory[[#This Row],[ln_acres]]*Granger_Inventory[[#This Row],[coeff]])+Granger_Inventory[[#This Row],[const]]</f>
        <v>26187.137454644311</v>
      </c>
      <c r="S383" t="s">
        <v>69</v>
      </c>
      <c r="T383">
        <v>1</v>
      </c>
      <c r="U383" t="s">
        <v>71</v>
      </c>
      <c r="V383" t="s">
        <v>77</v>
      </c>
      <c r="W383">
        <v>0</v>
      </c>
      <c r="X383">
        <v>0</v>
      </c>
      <c r="Y383">
        <v>44</v>
      </c>
      <c r="Z383">
        <v>49</v>
      </c>
      <c r="AA383">
        <v>50</v>
      </c>
      <c r="AB383">
        <v>1000</v>
      </c>
      <c r="AC383">
        <v>874</v>
      </c>
      <c r="AD383">
        <v>874</v>
      </c>
      <c r="AE383">
        <v>0</v>
      </c>
      <c r="AF383">
        <v>0</v>
      </c>
      <c r="AG383">
        <v>0</v>
      </c>
      <c r="AH383">
        <v>0</v>
      </c>
      <c r="AI383">
        <v>308</v>
      </c>
      <c r="AJ383">
        <v>0</v>
      </c>
      <c r="AK383">
        <v>0</v>
      </c>
      <c r="AL383">
        <v>0</v>
      </c>
      <c r="AM383">
        <v>0</v>
      </c>
      <c r="AN383">
        <v>72</v>
      </c>
      <c r="AO383">
        <v>0</v>
      </c>
      <c r="AP383">
        <v>5</v>
      </c>
      <c r="AQ383">
        <v>0</v>
      </c>
      <c r="AR383">
        <v>0</v>
      </c>
      <c r="AS383" t="s">
        <v>59</v>
      </c>
      <c r="AT383">
        <v>1</v>
      </c>
      <c r="AU383" t="s">
        <v>68</v>
      </c>
      <c r="AV383" t="s">
        <v>65</v>
      </c>
      <c r="AW383">
        <v>0</v>
      </c>
      <c r="AX383">
        <v>3</v>
      </c>
      <c r="AY383">
        <v>0</v>
      </c>
      <c r="AZ383">
        <v>0</v>
      </c>
      <c r="BA383">
        <v>100</v>
      </c>
      <c r="BB383">
        <v>100</v>
      </c>
      <c r="BC383">
        <v>100</v>
      </c>
      <c r="BD383">
        <v>100</v>
      </c>
      <c r="BE383">
        <v>1</v>
      </c>
      <c r="BF383">
        <v>15000</v>
      </c>
      <c r="BG383">
        <v>1000</v>
      </c>
      <c r="BH383" s="8">
        <f>Granger_Inventory[[#This Row],[land_extract]]*Lookups!$B$3</f>
        <v>15600.484345565219</v>
      </c>
      <c r="BI383" s="8">
        <f>IF(Granger_Inventory[[#This Row],[bldg_style]]="",0,Lookups!$B$2)</f>
        <v>29703.559000000001</v>
      </c>
      <c r="BJ383" s="8">
        <f>_xlfn.IFNA(VLOOKUP(Granger_Inventory[[#This Row],[quality]],Lookups!$H$2:$J$14,3,FALSE),0)</f>
        <v>34195</v>
      </c>
      <c r="BK383" s="8">
        <f>_xlfn.IFNA(VLOOKUP(Granger_Inventory[[#This Row],[condition]],Lookups!$H$17:$J$24,3,FALSE),0)</f>
        <v>33736</v>
      </c>
      <c r="BL383" s="8">
        <f>Granger_Inventory[[#This Row],[Age]]*Lookups!$B$16</f>
        <v>-10159.223899999999</v>
      </c>
      <c r="BM383" s="8">
        <f>Granger_Inventory[[#This Row],[living_area]]*Lookups!$B$17</f>
        <v>58796.522466000002</v>
      </c>
      <c r="BN383" s="8">
        <f>(Granger_Inventory[[#This Row],[att_gar]]+Granger_Inventory[[#This Row],[blt_gar]])*Lookups!$B$18</f>
        <v>14921.856488000001</v>
      </c>
      <c r="BO383" s="8">
        <f>Granger_Inventory[[#This Row],[Patio]]*Lookups!$B$19</f>
        <v>0</v>
      </c>
      <c r="BP383" s="8">
        <f>SUM(Granger_Inventory[[#This Row],[Intercept]:[Patio_Value]])*Granger_Inventory[[#This Row],[res_pct]]</f>
        <v>161193.71405400001</v>
      </c>
      <c r="BQ383" s="8">
        <f>Granger_Inventory[[#This Row],[land_value]]</f>
        <v>15600.484345565219</v>
      </c>
      <c r="BR383" s="4">
        <f>_xlfn.IFNA(VLOOKUP(Granger_Inventory[[#This Row],[quality]],Lookups!$A$25:$C$35,3,FALSE),1)</f>
        <v>0.98258795897788032</v>
      </c>
      <c r="BS383" s="4">
        <f>_xlfn.IFNA(VLOOKUP(Granger_Inventory[[#This Row],[condition]],Lookups!$A$38:$C$45,3,FALSE),1)</f>
        <v>0.92294678898076177</v>
      </c>
      <c r="BT383" s="4">
        <f>IF(Granger_Inventory[[#This Row],[decade]]="",1,_xlfn.IFNA(VLOOKUP(Granger_Inventory[[#This Row],[decade]],Lookups!$G$28:$I$42,3,FALSE),1))</f>
        <v>1.2441094871772171</v>
      </c>
      <c r="BU383" s="4">
        <f>_xlfn.IFNA(VLOOKUP(Granger_Inventory[[#This Row],[living_area_range]],Lookups!$A$48:$C$57,3,FALSE),1)</f>
        <v>0.81272404900450645</v>
      </c>
      <c r="BV383" s="4">
        <f>AVERAGE(Granger_Inventory[[#This Row],[qual_adj]:[living_range_adj]])</f>
        <v>0.99059207103509139</v>
      </c>
      <c r="BW383" s="8">
        <f>(Granger_Inventory[[#This Row],[sum_land]]-IF(Granger_Inventory[[#This Row],[no_utilities]]=1,12000,0))/IF(Granger_Inventory[[#This Row],[unbuildable]]=1,2,1)</f>
        <v>15600.484345565219</v>
      </c>
      <c r="BX383" s="8">
        <f>Granger_Inventory[[#This Row],[pre_res]]*Granger_Inventory[[#This Row],[overall_adj]]</f>
        <v>159677.21504259019</v>
      </c>
      <c r="BY383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3">
        <f>ROUND(Granger_Inventory[[#This Row],[detatched_value]]*Lookups!$I$45,-2)</f>
        <v>0</v>
      </c>
      <c r="CA383">
        <f>IF(ROUND(Granger_Inventory[[#This Row],[adj_res]]*Lookups!$I$45,-2)&lt;Granger_Inventory[[#This Row],[min_res]],Granger_Inventory[[#This Row],[min_res]],ROUND(Granger_Inventory[[#This Row],[adj_res]]*Lookups!$I$45,-2))</f>
        <v>151700</v>
      </c>
      <c r="CB383">
        <f>Granger_Inventory[[#This Row],[final_det]]+Granger_Inventory[[#This Row],[final_res]]</f>
        <v>151700</v>
      </c>
      <c r="CC383">
        <f>Granger_Inventory[[#This Row],[final_land]]+Granger_Inventory[[#This Row],[final_imp]]+Granger_Inventory[[#This Row],[crop_value]]</f>
        <v>166700</v>
      </c>
      <c r="CE383" t="str">
        <f t="shared" si="5"/>
        <v>update valuation set market_land =15000, market_bldg=151700, market_total =166700, market_mdno =402, market_date ='9/10/2023' where link_id = (select link_id from parcel where parcel_year = '2024' and parcel_id = '21102113509');</v>
      </c>
    </row>
    <row r="384" spans="1:83" x14ac:dyDescent="0.25">
      <c r="A384">
        <v>21102113510</v>
      </c>
      <c r="B384">
        <v>0.13</v>
      </c>
      <c r="C384">
        <v>5872</v>
      </c>
      <c r="D384" t="s">
        <v>137</v>
      </c>
      <c r="E384" t="s">
        <v>54</v>
      </c>
      <c r="F384" t="s">
        <v>54</v>
      </c>
      <c r="G384">
        <v>3</v>
      </c>
      <c r="H384" t="s">
        <v>55</v>
      </c>
      <c r="I384">
        <v>137600</v>
      </c>
      <c r="J384">
        <v>25500</v>
      </c>
      <c r="K384">
        <v>0.13</v>
      </c>
      <c r="L384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84">
        <v>0</v>
      </c>
      <c r="N384">
        <v>0</v>
      </c>
      <c r="O384">
        <v>0</v>
      </c>
      <c r="P384">
        <v>47108.068500000001</v>
      </c>
      <c r="Q384">
        <v>122298</v>
      </c>
      <c r="R384">
        <f>(Granger_Inventory[[#This Row],[ln_acres]]*Granger_Inventory[[#This Row],[coeff]])+Granger_Inventory[[#This Row],[const]]</f>
        <v>26187.137454644311</v>
      </c>
      <c r="S384" t="s">
        <v>69</v>
      </c>
      <c r="T384">
        <v>1</v>
      </c>
      <c r="U384" t="s">
        <v>78</v>
      </c>
      <c r="V384" t="s">
        <v>77</v>
      </c>
      <c r="W384">
        <v>0</v>
      </c>
      <c r="X384">
        <v>0</v>
      </c>
      <c r="Y384">
        <v>52</v>
      </c>
      <c r="Z384">
        <v>88</v>
      </c>
      <c r="AA384">
        <v>90</v>
      </c>
      <c r="AB384">
        <v>1500</v>
      </c>
      <c r="AC384">
        <v>1484</v>
      </c>
      <c r="AD384">
        <v>1484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120</v>
      </c>
      <c r="AO384">
        <v>0</v>
      </c>
      <c r="AP384">
        <v>5</v>
      </c>
      <c r="AQ384">
        <v>0</v>
      </c>
      <c r="AR384">
        <v>0</v>
      </c>
      <c r="AS384" t="s">
        <v>59</v>
      </c>
      <c r="AT384">
        <v>1</v>
      </c>
      <c r="AU384" t="s">
        <v>60</v>
      </c>
      <c r="AV384" t="s">
        <v>61</v>
      </c>
      <c r="AW384">
        <v>0</v>
      </c>
      <c r="AX384">
        <v>4</v>
      </c>
      <c r="AY384">
        <v>0</v>
      </c>
      <c r="AZ384">
        <v>0</v>
      </c>
      <c r="BA384">
        <v>100</v>
      </c>
      <c r="BB384">
        <v>100</v>
      </c>
      <c r="BC384">
        <v>100</v>
      </c>
      <c r="BD384">
        <v>100</v>
      </c>
      <c r="BE384">
        <v>1</v>
      </c>
      <c r="BF384">
        <v>15000</v>
      </c>
      <c r="BG384">
        <v>1000</v>
      </c>
      <c r="BH384" s="8">
        <f>Granger_Inventory[[#This Row],[land_extract]]*Lookups!$B$3</f>
        <v>15600.484345565219</v>
      </c>
      <c r="BI384" s="8">
        <f>IF(Granger_Inventory[[#This Row],[bldg_style]]="",0,Lookups!$B$2)</f>
        <v>29703.559000000001</v>
      </c>
      <c r="BJ384" s="8">
        <f>_xlfn.IFNA(VLOOKUP(Granger_Inventory[[#This Row],[quality]],Lookups!$H$2:$J$14,3,FALSE),0)</f>
        <v>23737.786340274597</v>
      </c>
      <c r="BK384" s="8">
        <f>_xlfn.IFNA(VLOOKUP(Granger_Inventory[[#This Row],[condition]],Lookups!$H$17:$J$24,3,FALSE),0)</f>
        <v>33736</v>
      </c>
      <c r="BL384" s="8">
        <f>Granger_Inventory[[#This Row],[Age]]*Lookups!$B$16</f>
        <v>-18245.1368</v>
      </c>
      <c r="BM384" s="8">
        <f>Granger_Inventory[[#This Row],[living_area]]*Lookups!$B$17</f>
        <v>99832.996956000003</v>
      </c>
      <c r="BN384" s="8">
        <f>(Granger_Inventory[[#This Row],[att_gar]]+Granger_Inventory[[#This Row],[blt_gar]])*Lookups!$B$18</f>
        <v>0</v>
      </c>
      <c r="BO384" s="8">
        <f>Granger_Inventory[[#This Row],[Patio]]*Lookups!$B$19</f>
        <v>0</v>
      </c>
      <c r="BP384" s="8">
        <f>SUM(Granger_Inventory[[#This Row],[Intercept]:[Patio_Value]])*Granger_Inventory[[#This Row],[res_pct]]</f>
        <v>168765.20549627458</v>
      </c>
      <c r="BQ384" s="8">
        <f>Granger_Inventory[[#This Row],[land_value]]</f>
        <v>15600.484345565219</v>
      </c>
      <c r="BR384" s="4">
        <f>_xlfn.IFNA(VLOOKUP(Granger_Inventory[[#This Row],[quality]],Lookups!$A$25:$C$35,3,FALSE),1)</f>
        <v>0.77695375541795109</v>
      </c>
      <c r="BS384" s="4">
        <f>_xlfn.IFNA(VLOOKUP(Granger_Inventory[[#This Row],[condition]],Lookups!$A$38:$C$45,3,FALSE),1)</f>
        <v>0.92294678898076177</v>
      </c>
      <c r="BT384" s="4">
        <f>IF(Granger_Inventory[[#This Row],[decade]]="",1,_xlfn.IFNA(VLOOKUP(Granger_Inventory[[#This Row],[decade]],Lookups!$G$28:$I$42,3,FALSE),1))</f>
        <v>0.95234610137492615</v>
      </c>
      <c r="BU384" s="4">
        <f>_xlfn.IFNA(VLOOKUP(Granger_Inventory[[#This Row],[living_area_range]],Lookups!$A$48:$C$57,3,FALSE),1)</f>
        <v>0.97960506760539345</v>
      </c>
      <c r="BV384" s="4">
        <f>AVERAGE(Granger_Inventory[[#This Row],[qual_adj]:[living_range_adj]])</f>
        <v>0.90796292834475811</v>
      </c>
      <c r="BW384" s="8">
        <f>(Granger_Inventory[[#This Row],[sum_land]]-IF(Granger_Inventory[[#This Row],[no_utilities]]=1,12000,0))/IF(Granger_Inventory[[#This Row],[unbuildable]]=1,2,1)</f>
        <v>15600.484345565219</v>
      </c>
      <c r="BX384" s="8">
        <f>Granger_Inventory[[#This Row],[pre_res]]*Granger_Inventory[[#This Row],[overall_adj]]</f>
        <v>153232.55018510233</v>
      </c>
      <c r="BY384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4">
        <f>ROUND(Granger_Inventory[[#This Row],[detatched_value]]*Lookups!$I$45,-2)</f>
        <v>0</v>
      </c>
      <c r="CA384">
        <f>IF(ROUND(Granger_Inventory[[#This Row],[adj_res]]*Lookups!$I$45,-2)&lt;Granger_Inventory[[#This Row],[min_res]],Granger_Inventory[[#This Row],[min_res]],ROUND(Granger_Inventory[[#This Row],[adj_res]]*Lookups!$I$45,-2))</f>
        <v>145600</v>
      </c>
      <c r="CB384">
        <f>Granger_Inventory[[#This Row],[final_det]]+Granger_Inventory[[#This Row],[final_res]]</f>
        <v>145600</v>
      </c>
      <c r="CC384">
        <f>Granger_Inventory[[#This Row],[final_land]]+Granger_Inventory[[#This Row],[final_imp]]+Granger_Inventory[[#This Row],[crop_value]]</f>
        <v>160600</v>
      </c>
      <c r="CE384" t="str">
        <f t="shared" si="5"/>
        <v>update valuation set market_land =15000, market_bldg=145600, market_total =160600, market_mdno =402, market_date ='9/10/2023' where link_id = (select link_id from parcel where parcel_year = '2024' and parcel_id = '21102113510');</v>
      </c>
    </row>
    <row r="385" spans="1:83" x14ac:dyDescent="0.25">
      <c r="A385">
        <v>21102113511</v>
      </c>
      <c r="B385">
        <v>0.13</v>
      </c>
      <c r="C385">
        <v>5872</v>
      </c>
      <c r="D385" t="s">
        <v>137</v>
      </c>
      <c r="E385" t="s">
        <v>54</v>
      </c>
      <c r="F385" t="s">
        <v>54</v>
      </c>
      <c r="G385">
        <v>3</v>
      </c>
      <c r="H385" t="s">
        <v>55</v>
      </c>
      <c r="I385">
        <v>72500</v>
      </c>
      <c r="J385">
        <v>25500</v>
      </c>
      <c r="K385">
        <v>0.13</v>
      </c>
      <c r="L385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385">
        <v>0</v>
      </c>
      <c r="N385">
        <v>0</v>
      </c>
      <c r="O385">
        <v>0</v>
      </c>
      <c r="P385">
        <v>47108.068500000001</v>
      </c>
      <c r="Q385">
        <v>122298</v>
      </c>
      <c r="R385">
        <f>(Granger_Inventory[[#This Row],[ln_acres]]*Granger_Inventory[[#This Row],[coeff]])+Granger_Inventory[[#This Row],[const]]</f>
        <v>26187.137454644311</v>
      </c>
      <c r="S385" t="s">
        <v>69</v>
      </c>
      <c r="T385">
        <v>1</v>
      </c>
      <c r="U385" t="s">
        <v>71</v>
      </c>
      <c r="V385" t="s">
        <v>77</v>
      </c>
      <c r="W385">
        <v>0</v>
      </c>
      <c r="X385">
        <v>0</v>
      </c>
      <c r="Y385">
        <v>51</v>
      </c>
      <c r="Z385">
        <v>83</v>
      </c>
      <c r="AA385">
        <v>90</v>
      </c>
      <c r="AB385">
        <v>1000</v>
      </c>
      <c r="AC385">
        <v>850</v>
      </c>
      <c r="AD385">
        <v>850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102</v>
      </c>
      <c r="AO385">
        <v>0</v>
      </c>
      <c r="AP385">
        <v>5</v>
      </c>
      <c r="AQ385">
        <v>0</v>
      </c>
      <c r="AR385">
        <v>0</v>
      </c>
      <c r="AS385" t="s">
        <v>59</v>
      </c>
      <c r="AT385">
        <v>1</v>
      </c>
      <c r="AU385" t="s">
        <v>60</v>
      </c>
      <c r="AV385" t="s">
        <v>61</v>
      </c>
      <c r="AW385">
        <v>1</v>
      </c>
      <c r="AX385">
        <v>2</v>
      </c>
      <c r="AY385">
        <v>0</v>
      </c>
      <c r="AZ385">
        <v>700</v>
      </c>
      <c r="BA385">
        <v>100</v>
      </c>
      <c r="BB385">
        <v>100</v>
      </c>
      <c r="BC385">
        <v>100</v>
      </c>
      <c r="BD385">
        <v>100</v>
      </c>
      <c r="BE385">
        <v>1</v>
      </c>
      <c r="BF385">
        <v>15000</v>
      </c>
      <c r="BG385">
        <v>1000</v>
      </c>
      <c r="BH385" s="8">
        <f>Granger_Inventory[[#This Row],[land_extract]]*Lookups!$B$3</f>
        <v>15600.484345565219</v>
      </c>
      <c r="BI385" s="8">
        <f>IF(Granger_Inventory[[#This Row],[bldg_style]]="",0,Lookups!$B$2)</f>
        <v>29703.559000000001</v>
      </c>
      <c r="BJ385" s="8">
        <f>_xlfn.IFNA(VLOOKUP(Granger_Inventory[[#This Row],[quality]],Lookups!$H$2:$J$14,3,FALSE),0)</f>
        <v>34195</v>
      </c>
      <c r="BK385" s="8">
        <f>_xlfn.IFNA(VLOOKUP(Granger_Inventory[[#This Row],[condition]],Lookups!$H$17:$J$24,3,FALSE),0)</f>
        <v>33736</v>
      </c>
      <c r="BL385" s="8">
        <f>Granger_Inventory[[#This Row],[Age]]*Lookups!$B$16</f>
        <v>-17208.481299999999</v>
      </c>
      <c r="BM385" s="8">
        <f>Granger_Inventory[[#This Row],[living_area]]*Lookups!$B$17</f>
        <v>57181.972649999996</v>
      </c>
      <c r="BN385" s="8">
        <f>(Granger_Inventory[[#This Row],[att_gar]]+Granger_Inventory[[#This Row],[blt_gar]])*Lookups!$B$18</f>
        <v>0</v>
      </c>
      <c r="BO385" s="8">
        <f>Granger_Inventory[[#This Row],[Patio]]*Lookups!$B$19</f>
        <v>0</v>
      </c>
      <c r="BP385" s="8">
        <f>SUM(Granger_Inventory[[#This Row],[Intercept]:[Patio_Value]])*Granger_Inventory[[#This Row],[res_pct]]</f>
        <v>137608.05035</v>
      </c>
      <c r="BQ385" s="8">
        <f>Granger_Inventory[[#This Row],[land_value]]</f>
        <v>15600.484345565219</v>
      </c>
      <c r="BR385" s="4">
        <f>_xlfn.IFNA(VLOOKUP(Granger_Inventory[[#This Row],[quality]],Lookups!$A$25:$C$35,3,FALSE),1)</f>
        <v>0.98258795897788032</v>
      </c>
      <c r="BS385" s="4">
        <f>_xlfn.IFNA(VLOOKUP(Granger_Inventory[[#This Row],[condition]],Lookups!$A$38:$C$45,3,FALSE),1)</f>
        <v>0.92294678898076177</v>
      </c>
      <c r="BT385" s="4">
        <f>IF(Granger_Inventory[[#This Row],[decade]]="",1,_xlfn.IFNA(VLOOKUP(Granger_Inventory[[#This Row],[decade]],Lookups!$G$28:$I$42,3,FALSE),1))</f>
        <v>0.95234610137492615</v>
      </c>
      <c r="BU385" s="4">
        <f>_xlfn.IFNA(VLOOKUP(Granger_Inventory[[#This Row],[living_area_range]],Lookups!$A$48:$C$57,3,FALSE),1)</f>
        <v>0.81272404900450645</v>
      </c>
      <c r="BV385" s="4">
        <f>AVERAGE(Granger_Inventory[[#This Row],[qual_adj]:[living_range_adj]])</f>
        <v>0.91765122458451864</v>
      </c>
      <c r="BW385" s="8">
        <f>(Granger_Inventory[[#This Row],[sum_land]]-IF(Granger_Inventory[[#This Row],[no_utilities]]=1,12000,0))/IF(Granger_Inventory[[#This Row],[unbuildable]]=1,2,1)</f>
        <v>15600.484345565219</v>
      </c>
      <c r="BX385" s="8">
        <f>Granger_Inventory[[#This Row],[pre_res]]*Granger_Inventory[[#This Row],[overall_adj]]</f>
        <v>126276.1959163656</v>
      </c>
      <c r="BY385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5">
        <f>ROUND(Granger_Inventory[[#This Row],[detatched_value]]*Lookups!$I$45,-2)</f>
        <v>700</v>
      </c>
      <c r="CA385">
        <f>IF(ROUND(Granger_Inventory[[#This Row],[adj_res]]*Lookups!$I$45,-2)&lt;Granger_Inventory[[#This Row],[min_res]],Granger_Inventory[[#This Row],[min_res]],ROUND(Granger_Inventory[[#This Row],[adj_res]]*Lookups!$I$45,-2))</f>
        <v>120000</v>
      </c>
      <c r="CB385">
        <f>Granger_Inventory[[#This Row],[final_det]]+Granger_Inventory[[#This Row],[final_res]]</f>
        <v>120700</v>
      </c>
      <c r="CC385">
        <f>Granger_Inventory[[#This Row],[final_land]]+Granger_Inventory[[#This Row],[final_imp]]+Granger_Inventory[[#This Row],[crop_value]]</f>
        <v>135700</v>
      </c>
      <c r="CE385" t="str">
        <f t="shared" si="5"/>
        <v>update valuation set market_land =15000, market_bldg=120700, market_total =135700, market_mdno =402, market_date ='9/10/2023' where link_id = (select link_id from parcel where parcel_year = '2024' and parcel_id = '21102113511');</v>
      </c>
    </row>
    <row r="386" spans="1:83" x14ac:dyDescent="0.25">
      <c r="A386">
        <v>21102113513</v>
      </c>
      <c r="B386">
        <v>0.04</v>
      </c>
      <c r="C386">
        <v>1580</v>
      </c>
      <c r="D386" t="s">
        <v>137</v>
      </c>
      <c r="E386" t="s">
        <v>54</v>
      </c>
      <c r="F386" t="s">
        <v>54</v>
      </c>
      <c r="G386">
        <v>3</v>
      </c>
      <c r="H386" t="s">
        <v>55</v>
      </c>
      <c r="I386">
        <v>43700</v>
      </c>
      <c r="J386">
        <v>18500</v>
      </c>
      <c r="K386">
        <v>0.04</v>
      </c>
      <c r="L386">
        <f>IF(Granger_Inventory[[#This Row],[parcel_acres]]-Granger_Inventory[[#This Row],[non_valued_acres]] =0,0,LN(Granger_Inventory[[#This Row],[parcel_acres]]-Granger_Inventory[[#This Row],[non_valued_acres]]))</f>
        <v>-3.2188758248682006</v>
      </c>
      <c r="M386">
        <v>0</v>
      </c>
      <c r="N386">
        <v>0</v>
      </c>
      <c r="O386">
        <v>0</v>
      </c>
      <c r="P386">
        <v>47108.068500000001</v>
      </c>
      <c r="Q386">
        <v>122298</v>
      </c>
      <c r="R386">
        <f>(Granger_Inventory[[#This Row],[ln_acres]]*Granger_Inventory[[#This Row],[coeff]])+Granger_Inventory[[#This Row],[const]]</f>
        <v>-29337.022850885201</v>
      </c>
      <c r="S386" t="s">
        <v>62</v>
      </c>
      <c r="T386">
        <v>1</v>
      </c>
      <c r="U386" t="s">
        <v>78</v>
      </c>
      <c r="V386" t="s">
        <v>79</v>
      </c>
      <c r="W386">
        <v>0</v>
      </c>
      <c r="X386">
        <v>0</v>
      </c>
      <c r="Y386">
        <v>48</v>
      </c>
      <c r="Z386">
        <v>63</v>
      </c>
      <c r="AA386">
        <v>70</v>
      </c>
      <c r="AB386">
        <v>1000</v>
      </c>
      <c r="AC386">
        <v>768</v>
      </c>
      <c r="AD386">
        <v>768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234</v>
      </c>
      <c r="AL386">
        <v>0</v>
      </c>
      <c r="AM386">
        <v>0</v>
      </c>
      <c r="AN386">
        <v>0</v>
      </c>
      <c r="AO386">
        <v>0</v>
      </c>
      <c r="AP386">
        <v>5</v>
      </c>
      <c r="AQ386">
        <v>0</v>
      </c>
      <c r="AR386">
        <v>0</v>
      </c>
      <c r="AS386" t="s">
        <v>59</v>
      </c>
      <c r="AT386">
        <v>1</v>
      </c>
      <c r="AU386" t="s">
        <v>76</v>
      </c>
      <c r="AV386" t="s">
        <v>65</v>
      </c>
      <c r="AW386">
        <v>0</v>
      </c>
      <c r="AX386">
        <v>2</v>
      </c>
      <c r="AY386">
        <v>0</v>
      </c>
      <c r="AZ386">
        <v>0</v>
      </c>
      <c r="BA386">
        <v>100</v>
      </c>
      <c r="BB386">
        <v>100</v>
      </c>
      <c r="BC386">
        <v>100</v>
      </c>
      <c r="BD386">
        <v>100</v>
      </c>
      <c r="BE386">
        <v>1</v>
      </c>
      <c r="BF386">
        <v>15000</v>
      </c>
      <c r="BG386">
        <v>1000</v>
      </c>
      <c r="BH386" s="8">
        <f>Granger_Inventory[[#This Row],[land_extract]]*Lookups!$B$3</f>
        <v>-17476.96809257612</v>
      </c>
      <c r="BI386" s="8">
        <f>IF(Granger_Inventory[[#This Row],[bldg_style]]="",0,Lookups!$B$2)</f>
        <v>29703.559000000001</v>
      </c>
      <c r="BJ386" s="8">
        <f>_xlfn.IFNA(VLOOKUP(Granger_Inventory[[#This Row],[quality]],Lookups!$H$2:$J$14,3,FALSE),0)</f>
        <v>23737.786340274597</v>
      </c>
      <c r="BK386" s="8">
        <f>_xlfn.IFNA(VLOOKUP(Granger_Inventory[[#This Row],[condition]],Lookups!$H$17:$J$24,3,FALSE),0)</f>
        <v>86727</v>
      </c>
      <c r="BL386" s="8">
        <f>Granger_Inventory[[#This Row],[Age]]*Lookups!$B$16</f>
        <v>-13061.8593</v>
      </c>
      <c r="BM386" s="8">
        <f>Granger_Inventory[[#This Row],[living_area]]*Lookups!$B$17</f>
        <v>51665.594111999999</v>
      </c>
      <c r="BN386" s="8">
        <f>(Granger_Inventory[[#This Row],[att_gar]]+Granger_Inventory[[#This Row],[blt_gar]])*Lookups!$B$18</f>
        <v>0</v>
      </c>
      <c r="BO386" s="8">
        <f>Granger_Inventory[[#This Row],[Patio]]*Lookups!$B$19</f>
        <v>0</v>
      </c>
      <c r="BP386" s="8">
        <f>SUM(Granger_Inventory[[#This Row],[Intercept]:[Patio_Value]])*Granger_Inventory[[#This Row],[res_pct]]</f>
        <v>178772.0801522746</v>
      </c>
      <c r="BQ386" s="8">
        <f>Granger_Inventory[[#This Row],[land_value]]</f>
        <v>-17476.96809257612</v>
      </c>
      <c r="BR386" s="4">
        <f>_xlfn.IFNA(VLOOKUP(Granger_Inventory[[#This Row],[quality]],Lookups!$A$25:$C$35,3,FALSE),1)</f>
        <v>0.77695375541795109</v>
      </c>
      <c r="BS386" s="4">
        <f>_xlfn.IFNA(VLOOKUP(Granger_Inventory[[#This Row],[condition]],Lookups!$A$38:$C$45,3,FALSE),1)</f>
        <v>0.85322907131620684</v>
      </c>
      <c r="BT386" s="4">
        <f>IF(Granger_Inventory[[#This Row],[decade]]="",1,_xlfn.IFNA(VLOOKUP(Granger_Inventory[[#This Row],[decade]],Lookups!$G$28:$I$42,3,FALSE),1))</f>
        <v>1.0270382440255921</v>
      </c>
      <c r="BU386" s="4">
        <f>_xlfn.IFNA(VLOOKUP(Granger_Inventory[[#This Row],[living_area_range]],Lookups!$A$48:$C$57,3,FALSE),1)</f>
        <v>0.81272404900450645</v>
      </c>
      <c r="BV386" s="4">
        <f>AVERAGE(Granger_Inventory[[#This Row],[qual_adj]:[living_range_adj]])</f>
        <v>0.86748627994106409</v>
      </c>
      <c r="BW386" s="8">
        <f>(Granger_Inventory[[#This Row],[sum_land]]-IF(Granger_Inventory[[#This Row],[no_utilities]]=1,12000,0))/IF(Granger_Inventory[[#This Row],[unbuildable]]=1,2,1)</f>
        <v>-17476.96809257612</v>
      </c>
      <c r="BX386" s="8">
        <f>Granger_Inventory[[#This Row],[pre_res]]*Granger_Inventory[[#This Row],[overall_adj]]</f>
        <v>155082.32676862244</v>
      </c>
      <c r="BY386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386">
        <f>ROUND(Granger_Inventory[[#This Row],[detatched_value]]*Lookups!$I$45,-2)</f>
        <v>0</v>
      </c>
      <c r="CA386">
        <f>IF(ROUND(Granger_Inventory[[#This Row],[adj_res]]*Lookups!$I$45,-2)&lt;Granger_Inventory[[#This Row],[min_res]],Granger_Inventory[[#This Row],[min_res]],ROUND(Granger_Inventory[[#This Row],[adj_res]]*Lookups!$I$45,-2))</f>
        <v>147300</v>
      </c>
      <c r="CB386">
        <f>Granger_Inventory[[#This Row],[final_det]]+Granger_Inventory[[#This Row],[final_res]]</f>
        <v>147300</v>
      </c>
      <c r="CC386">
        <f>Granger_Inventory[[#This Row],[final_land]]+Granger_Inventory[[#This Row],[final_imp]]+Granger_Inventory[[#This Row],[crop_value]]</f>
        <v>162300</v>
      </c>
      <c r="CE386" t="str">
        <f t="shared" ref="CE386:CE449" si="6">"update valuation set market_land ="&amp;BY386&amp;", market_bldg="&amp;CB386&amp;", market_total ="&amp;CC386&amp;", market_mdno ="&amp;$CE$1&amp;", market_date ='"&amp;TEXT($CF$1,"m/d/yyyy")&amp;"' where link_id = (select link_id from parcel where parcel_year = '2024' and parcel_id = '"&amp;A386&amp;"');"</f>
        <v>update valuation set market_land =15000, market_bldg=147300, market_total =162300, market_mdno =402, market_date ='9/10/2023' where link_id = (select link_id from parcel where parcel_year = '2024' and parcel_id = '21102113513');</v>
      </c>
    </row>
    <row r="387" spans="1:83" x14ac:dyDescent="0.25">
      <c r="A387">
        <v>21102113520</v>
      </c>
      <c r="B387">
        <v>0.28000000000000003</v>
      </c>
      <c r="C387">
        <v>11999</v>
      </c>
      <c r="D387" t="s">
        <v>137</v>
      </c>
      <c r="E387" t="s">
        <v>54</v>
      </c>
      <c r="F387" t="s">
        <v>54</v>
      </c>
      <c r="G387">
        <v>3</v>
      </c>
      <c r="H387" t="s">
        <v>55</v>
      </c>
      <c r="I387">
        <v>154700</v>
      </c>
      <c r="J387">
        <v>30000</v>
      </c>
      <c r="K387">
        <v>0.28000000000000003</v>
      </c>
      <c r="L387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387">
        <v>0</v>
      </c>
      <c r="N387">
        <v>0</v>
      </c>
      <c r="O387">
        <v>0</v>
      </c>
      <c r="P387">
        <v>47108.068500000001</v>
      </c>
      <c r="Q387">
        <v>122298</v>
      </c>
      <c r="R387">
        <f>(Granger_Inventory[[#This Row],[ln_acres]]*Granger_Inventory[[#This Row],[coeff]])+Granger_Inventory[[#This Row],[const]]</f>
        <v>62331.045745657706</v>
      </c>
      <c r="S387" t="s">
        <v>69</v>
      </c>
      <c r="T387">
        <v>1</v>
      </c>
      <c r="U387" t="s">
        <v>78</v>
      </c>
      <c r="V387" t="s">
        <v>79</v>
      </c>
      <c r="W387">
        <v>0</v>
      </c>
      <c r="X387">
        <v>0</v>
      </c>
      <c r="Y387">
        <v>51</v>
      </c>
      <c r="Z387">
        <v>83</v>
      </c>
      <c r="AA387">
        <v>90</v>
      </c>
      <c r="AB387">
        <v>1500</v>
      </c>
      <c r="AC387">
        <v>1353</v>
      </c>
      <c r="AD387">
        <v>1353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65</v>
      </c>
      <c r="AN387">
        <v>0</v>
      </c>
      <c r="AO387">
        <v>65</v>
      </c>
      <c r="AP387">
        <v>5</v>
      </c>
      <c r="AQ387">
        <v>0</v>
      </c>
      <c r="AR387">
        <v>0</v>
      </c>
      <c r="AS387" t="s">
        <v>59</v>
      </c>
      <c r="AT387">
        <v>1</v>
      </c>
      <c r="AU387" t="s">
        <v>76</v>
      </c>
      <c r="AV387" t="s">
        <v>65</v>
      </c>
      <c r="AW387">
        <v>0</v>
      </c>
      <c r="AX387">
        <v>2</v>
      </c>
      <c r="AY387">
        <v>0</v>
      </c>
      <c r="AZ387">
        <v>57100</v>
      </c>
      <c r="BA387">
        <v>100</v>
      </c>
      <c r="BB387">
        <v>100</v>
      </c>
      <c r="BC387">
        <v>100</v>
      </c>
      <c r="BD387">
        <v>100</v>
      </c>
      <c r="BE387">
        <v>1</v>
      </c>
      <c r="BF387">
        <v>15000</v>
      </c>
      <c r="BG387">
        <v>1000</v>
      </c>
      <c r="BH387" s="8">
        <f>Granger_Inventory[[#This Row],[land_extract]]*Lookups!$B$3</f>
        <v>37132.523746897263</v>
      </c>
      <c r="BI387" s="8">
        <f>IF(Granger_Inventory[[#This Row],[bldg_style]]="",0,Lookups!$B$2)</f>
        <v>29703.559000000001</v>
      </c>
      <c r="BJ387" s="8">
        <f>_xlfn.IFNA(VLOOKUP(Granger_Inventory[[#This Row],[quality]],Lookups!$H$2:$J$14,3,FALSE),0)</f>
        <v>23737.786340274597</v>
      </c>
      <c r="BK387" s="8">
        <f>_xlfn.IFNA(VLOOKUP(Granger_Inventory[[#This Row],[condition]],Lookups!$H$17:$J$24,3,FALSE),0)</f>
        <v>86727</v>
      </c>
      <c r="BL387" s="8">
        <f>Granger_Inventory[[#This Row],[Age]]*Lookups!$B$16</f>
        <v>-17208.481299999999</v>
      </c>
      <c r="BM387" s="8">
        <f>Granger_Inventory[[#This Row],[living_area]]*Lookups!$B$17</f>
        <v>91020.245876999994</v>
      </c>
      <c r="BN387" s="8">
        <f>(Granger_Inventory[[#This Row],[att_gar]]+Granger_Inventory[[#This Row],[blt_gar]])*Lookups!$B$18</f>
        <v>0</v>
      </c>
      <c r="BO387" s="8">
        <f>Granger_Inventory[[#This Row],[Patio]]*Lookups!$B$19</f>
        <v>3530.4812399999996</v>
      </c>
      <c r="BP387" s="8">
        <f>SUM(Granger_Inventory[[#This Row],[Intercept]:[Patio_Value]])*Granger_Inventory[[#This Row],[res_pct]]</f>
        <v>217510.59115727458</v>
      </c>
      <c r="BQ387" s="8">
        <f>Granger_Inventory[[#This Row],[land_value]]</f>
        <v>37132.523746897263</v>
      </c>
      <c r="BR387" s="4">
        <f>_xlfn.IFNA(VLOOKUP(Granger_Inventory[[#This Row],[quality]],Lookups!$A$25:$C$35,3,FALSE),1)</f>
        <v>0.77695375541795109</v>
      </c>
      <c r="BS387" s="4">
        <f>_xlfn.IFNA(VLOOKUP(Granger_Inventory[[#This Row],[condition]],Lookups!$A$38:$C$45,3,FALSE),1)</f>
        <v>0.85322907131620684</v>
      </c>
      <c r="BT387" s="4">
        <f>IF(Granger_Inventory[[#This Row],[decade]]="",1,_xlfn.IFNA(VLOOKUP(Granger_Inventory[[#This Row],[decade]],Lookups!$G$28:$I$42,3,FALSE),1))</f>
        <v>0.95234610137492615</v>
      </c>
      <c r="BU387" s="4">
        <f>_xlfn.IFNA(VLOOKUP(Granger_Inventory[[#This Row],[living_area_range]],Lookups!$A$48:$C$57,3,FALSE),1)</f>
        <v>0.97960506760539345</v>
      </c>
      <c r="BV387" s="4">
        <f>AVERAGE(Granger_Inventory[[#This Row],[qual_adj]:[living_range_adj]])</f>
        <v>0.89053349892861944</v>
      </c>
      <c r="BW387" s="8">
        <f>(Granger_Inventory[[#This Row],[sum_land]]-IF(Granger_Inventory[[#This Row],[no_utilities]]=1,12000,0))/IF(Granger_Inventory[[#This Row],[unbuildable]]=1,2,1)</f>
        <v>37132.523746897263</v>
      </c>
      <c r="BX387" s="8">
        <f>Granger_Inventory[[#This Row],[pre_res]]*Granger_Inventory[[#This Row],[overall_adj]]</f>
        <v>193700.46779732016</v>
      </c>
      <c r="BY387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387">
        <f>ROUND(Granger_Inventory[[#This Row],[detatched_value]]*Lookups!$I$45,-2)</f>
        <v>54200</v>
      </c>
      <c r="CA387">
        <f>IF(ROUND(Granger_Inventory[[#This Row],[adj_res]]*Lookups!$I$45,-2)&lt;Granger_Inventory[[#This Row],[min_res]],Granger_Inventory[[#This Row],[min_res]],ROUND(Granger_Inventory[[#This Row],[adj_res]]*Lookups!$I$45,-2))</f>
        <v>184000</v>
      </c>
      <c r="CB387">
        <f>Granger_Inventory[[#This Row],[final_det]]+Granger_Inventory[[#This Row],[final_res]]</f>
        <v>238200</v>
      </c>
      <c r="CC387">
        <f>Granger_Inventory[[#This Row],[final_land]]+Granger_Inventory[[#This Row],[final_imp]]+Granger_Inventory[[#This Row],[crop_value]]</f>
        <v>273500</v>
      </c>
      <c r="CE387" t="str">
        <f t="shared" si="6"/>
        <v>update valuation set market_land =35300, market_bldg=238200, market_total =273500, market_mdno =402, market_date ='9/10/2023' where link_id = (select link_id from parcel where parcel_year = '2024' and parcel_id = '21102113520');</v>
      </c>
    </row>
    <row r="388" spans="1:83" x14ac:dyDescent="0.25">
      <c r="A388">
        <v>21102113521</v>
      </c>
      <c r="B388">
        <v>0.14000000000000001</v>
      </c>
      <c r="C388">
        <v>6000</v>
      </c>
      <c r="D388" t="s">
        <v>137</v>
      </c>
      <c r="E388" t="s">
        <v>54</v>
      </c>
      <c r="F388" t="s">
        <v>54</v>
      </c>
      <c r="G388">
        <v>3</v>
      </c>
      <c r="H388" t="s">
        <v>55</v>
      </c>
      <c r="I388">
        <v>53700</v>
      </c>
      <c r="J388">
        <v>25900</v>
      </c>
      <c r="K388">
        <v>0.14000000000000001</v>
      </c>
      <c r="L388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88">
        <v>0</v>
      </c>
      <c r="N388">
        <v>0</v>
      </c>
      <c r="O388">
        <v>0</v>
      </c>
      <c r="P388">
        <v>47108.068500000001</v>
      </c>
      <c r="Q388">
        <v>122298</v>
      </c>
      <c r="R388">
        <f>(Granger_Inventory[[#This Row],[ln_acres]]*Granger_Inventory[[#This Row],[coeff]])+Granger_Inventory[[#This Row],[const]]</f>
        <v>29678.220883257934</v>
      </c>
      <c r="S388" t="s">
        <v>69</v>
      </c>
      <c r="T388">
        <v>1</v>
      </c>
      <c r="U388" t="s">
        <v>78</v>
      </c>
      <c r="V388" t="s">
        <v>79</v>
      </c>
      <c r="W388">
        <v>0</v>
      </c>
      <c r="X388">
        <v>0</v>
      </c>
      <c r="Y388">
        <v>51</v>
      </c>
      <c r="Z388">
        <v>83</v>
      </c>
      <c r="AA388">
        <v>90</v>
      </c>
      <c r="AB388">
        <v>1500</v>
      </c>
      <c r="AC388">
        <v>1014</v>
      </c>
      <c r="AD388">
        <v>1014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5</v>
      </c>
      <c r="AQ388">
        <v>0</v>
      </c>
      <c r="AR388">
        <v>0</v>
      </c>
      <c r="AS388" t="s">
        <v>59</v>
      </c>
      <c r="AT388">
        <v>1</v>
      </c>
      <c r="AU388" t="s">
        <v>68</v>
      </c>
      <c r="AV388" t="s">
        <v>65</v>
      </c>
      <c r="AW388">
        <v>0</v>
      </c>
      <c r="AX388">
        <v>2</v>
      </c>
      <c r="AY388">
        <v>0</v>
      </c>
      <c r="AZ388">
        <v>0</v>
      </c>
      <c r="BA388">
        <v>100</v>
      </c>
      <c r="BB388">
        <v>100</v>
      </c>
      <c r="BC388">
        <v>100</v>
      </c>
      <c r="BD388">
        <v>100</v>
      </c>
      <c r="BE388">
        <v>1</v>
      </c>
      <c r="BF388">
        <v>15000</v>
      </c>
      <c r="BG388">
        <v>1000</v>
      </c>
      <c r="BH388" s="8">
        <f>Granger_Inventory[[#This Row],[land_extract]]*Lookups!$B$3</f>
        <v>17680.230269359956</v>
      </c>
      <c r="BI388" s="8">
        <f>IF(Granger_Inventory[[#This Row],[bldg_style]]="",0,Lookups!$B$2)</f>
        <v>29703.559000000001</v>
      </c>
      <c r="BJ388" s="8">
        <f>_xlfn.IFNA(VLOOKUP(Granger_Inventory[[#This Row],[quality]],Lookups!$H$2:$J$14,3,FALSE),0)</f>
        <v>23737.786340274597</v>
      </c>
      <c r="BK388" s="8">
        <f>_xlfn.IFNA(VLOOKUP(Granger_Inventory[[#This Row],[condition]],Lookups!$H$17:$J$24,3,FALSE),0)</f>
        <v>86727</v>
      </c>
      <c r="BL388" s="8">
        <f>Granger_Inventory[[#This Row],[Age]]*Lookups!$B$16</f>
        <v>-17208.481299999999</v>
      </c>
      <c r="BM388" s="8">
        <f>Granger_Inventory[[#This Row],[living_area]]*Lookups!$B$17</f>
        <v>68214.729726000005</v>
      </c>
      <c r="BN388" s="8">
        <f>(Granger_Inventory[[#This Row],[att_gar]]+Granger_Inventory[[#This Row],[blt_gar]])*Lookups!$B$18</f>
        <v>0</v>
      </c>
      <c r="BO388" s="8">
        <f>Granger_Inventory[[#This Row],[Patio]]*Lookups!$B$19</f>
        <v>0</v>
      </c>
      <c r="BP388" s="8">
        <f>SUM(Granger_Inventory[[#This Row],[Intercept]:[Patio_Value]])*Granger_Inventory[[#This Row],[res_pct]]</f>
        <v>191174.5937662746</v>
      </c>
      <c r="BQ388" s="8">
        <f>Granger_Inventory[[#This Row],[land_value]]</f>
        <v>17680.230269359956</v>
      </c>
      <c r="BR388" s="4">
        <f>_xlfn.IFNA(VLOOKUP(Granger_Inventory[[#This Row],[quality]],Lookups!$A$25:$C$35,3,FALSE),1)</f>
        <v>0.77695375541795109</v>
      </c>
      <c r="BS388" s="4">
        <f>_xlfn.IFNA(VLOOKUP(Granger_Inventory[[#This Row],[condition]],Lookups!$A$38:$C$45,3,FALSE),1)</f>
        <v>0.85322907131620684</v>
      </c>
      <c r="BT388" s="4">
        <f>IF(Granger_Inventory[[#This Row],[decade]]="",1,_xlfn.IFNA(VLOOKUP(Granger_Inventory[[#This Row],[decade]],Lookups!$G$28:$I$42,3,FALSE),1))</f>
        <v>0.95234610137492615</v>
      </c>
      <c r="BU388" s="4">
        <f>_xlfn.IFNA(VLOOKUP(Granger_Inventory[[#This Row],[living_area_range]],Lookups!$A$48:$C$57,3,FALSE),1)</f>
        <v>0.97960506760539345</v>
      </c>
      <c r="BV388" s="4">
        <f>AVERAGE(Granger_Inventory[[#This Row],[qual_adj]:[living_range_adj]])</f>
        <v>0.89053349892861944</v>
      </c>
      <c r="BW388" s="8">
        <f>(Granger_Inventory[[#This Row],[sum_land]]-IF(Granger_Inventory[[#This Row],[no_utilities]]=1,12000,0))/IF(Granger_Inventory[[#This Row],[unbuildable]]=1,2,1)</f>
        <v>17680.230269359956</v>
      </c>
      <c r="BX388" s="8">
        <f>Granger_Inventory[[#This Row],[pre_res]]*Granger_Inventory[[#This Row],[overall_adj]]</f>
        <v>170247.37989293796</v>
      </c>
      <c r="BY388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88">
        <f>ROUND(Granger_Inventory[[#This Row],[detatched_value]]*Lookups!$I$45,-2)</f>
        <v>0</v>
      </c>
      <c r="CA388">
        <f>IF(ROUND(Granger_Inventory[[#This Row],[adj_res]]*Lookups!$I$45,-2)&lt;Granger_Inventory[[#This Row],[min_res]],Granger_Inventory[[#This Row],[min_res]],ROUND(Granger_Inventory[[#This Row],[adj_res]]*Lookups!$I$45,-2))</f>
        <v>161700</v>
      </c>
      <c r="CB388">
        <f>Granger_Inventory[[#This Row],[final_det]]+Granger_Inventory[[#This Row],[final_res]]</f>
        <v>161700</v>
      </c>
      <c r="CC388">
        <f>Granger_Inventory[[#This Row],[final_land]]+Granger_Inventory[[#This Row],[final_imp]]+Granger_Inventory[[#This Row],[crop_value]]</f>
        <v>178500</v>
      </c>
      <c r="CE388" t="str">
        <f t="shared" si="6"/>
        <v>update valuation set market_land =16800, market_bldg=161700, market_total =178500, market_mdno =402, market_date ='9/10/2023' where link_id = (select link_id from parcel where parcel_year = '2024' and parcel_id = '21102113521');</v>
      </c>
    </row>
    <row r="389" spans="1:83" x14ac:dyDescent="0.25">
      <c r="A389">
        <v>21102113523</v>
      </c>
      <c r="B389">
        <v>0.14000000000000001</v>
      </c>
      <c r="C389">
        <v>6000</v>
      </c>
      <c r="D389" t="s">
        <v>137</v>
      </c>
      <c r="E389" t="s">
        <v>54</v>
      </c>
      <c r="F389" t="s">
        <v>54</v>
      </c>
      <c r="G389">
        <v>3</v>
      </c>
      <c r="H389" t="s">
        <v>55</v>
      </c>
      <c r="I389">
        <v>235800</v>
      </c>
      <c r="J389">
        <v>25900</v>
      </c>
      <c r="K389">
        <v>0.14000000000000001</v>
      </c>
      <c r="L389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89">
        <v>0</v>
      </c>
      <c r="N389">
        <v>0</v>
      </c>
      <c r="O389">
        <v>0</v>
      </c>
      <c r="P389">
        <v>47108.068500000001</v>
      </c>
      <c r="Q389">
        <v>122298</v>
      </c>
      <c r="R389">
        <f>(Granger_Inventory[[#This Row],[ln_acres]]*Granger_Inventory[[#This Row],[coeff]])+Granger_Inventory[[#This Row],[const]]</f>
        <v>29678.220883257934</v>
      </c>
      <c r="S389" t="s">
        <v>59</v>
      </c>
      <c r="T389">
        <v>1</v>
      </c>
      <c r="U389" t="s">
        <v>64</v>
      </c>
      <c r="V389" t="s">
        <v>58</v>
      </c>
      <c r="W389">
        <v>0</v>
      </c>
      <c r="X389">
        <v>0</v>
      </c>
      <c r="Y389">
        <v>3</v>
      </c>
      <c r="Z389">
        <v>3</v>
      </c>
      <c r="AA389">
        <v>10</v>
      </c>
      <c r="AB389">
        <v>1500</v>
      </c>
      <c r="AC389">
        <v>1248</v>
      </c>
      <c r="AD389">
        <v>1248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8</v>
      </c>
      <c r="AQ389">
        <v>0</v>
      </c>
      <c r="AR389">
        <v>0</v>
      </c>
      <c r="AS389" t="s">
        <v>59</v>
      </c>
      <c r="AT389">
        <v>1</v>
      </c>
      <c r="AU389" t="s">
        <v>63</v>
      </c>
      <c r="AV389" t="s">
        <v>65</v>
      </c>
      <c r="AW389">
        <v>1</v>
      </c>
      <c r="AX389">
        <v>3</v>
      </c>
      <c r="AY389">
        <v>0</v>
      </c>
      <c r="AZ389">
        <v>0</v>
      </c>
      <c r="BA389">
        <v>100</v>
      </c>
      <c r="BB389">
        <v>100</v>
      </c>
      <c r="BC389">
        <v>100</v>
      </c>
      <c r="BD389">
        <v>100</v>
      </c>
      <c r="BE389">
        <v>1</v>
      </c>
      <c r="BF389">
        <v>15000</v>
      </c>
      <c r="BG389">
        <v>1000</v>
      </c>
      <c r="BH389" s="8">
        <f>Granger_Inventory[[#This Row],[land_extract]]*Lookups!$B$3</f>
        <v>17680.230269359956</v>
      </c>
      <c r="BI389" s="8">
        <f>IF(Granger_Inventory[[#This Row],[bldg_style]]="",0,Lookups!$B$2)</f>
        <v>29703.559000000001</v>
      </c>
      <c r="BJ389" s="8">
        <f>_xlfn.IFNA(VLOOKUP(Granger_Inventory[[#This Row],[quality]],Lookups!$H$2:$J$14,3,FALSE),0)</f>
        <v>36568</v>
      </c>
      <c r="BK389" s="8">
        <f>_xlfn.IFNA(VLOOKUP(Granger_Inventory[[#This Row],[condition]],Lookups!$H$17:$J$24,3,FALSE),0)</f>
        <v>101774</v>
      </c>
      <c r="BL389" s="8">
        <f>Granger_Inventory[[#This Row],[Age]]*Lookups!$B$16</f>
        <v>-621.99329999999998</v>
      </c>
      <c r="BM389" s="8">
        <f>Granger_Inventory[[#This Row],[living_area]]*Lookups!$B$17</f>
        <v>83956.590431999997</v>
      </c>
      <c r="BN389" s="8">
        <f>(Granger_Inventory[[#This Row],[att_gar]]+Granger_Inventory[[#This Row],[blt_gar]])*Lookups!$B$18</f>
        <v>0</v>
      </c>
      <c r="BO389" s="8">
        <f>Granger_Inventory[[#This Row],[Patio]]*Lookups!$B$19</f>
        <v>0</v>
      </c>
      <c r="BP389" s="8">
        <f>SUM(Granger_Inventory[[#This Row],[Intercept]:[Patio_Value]])*Granger_Inventory[[#This Row],[res_pct]]</f>
        <v>251380.156132</v>
      </c>
      <c r="BQ389" s="8">
        <f>Granger_Inventory[[#This Row],[land_value]]</f>
        <v>17680.230269359956</v>
      </c>
      <c r="BR389" s="4">
        <f>_xlfn.IFNA(VLOOKUP(Granger_Inventory[[#This Row],[quality]],Lookups!$A$25:$C$35,3,FALSE),1)</f>
        <v>0.99049976351917957</v>
      </c>
      <c r="BS389" s="4">
        <f>_xlfn.IFNA(VLOOKUP(Granger_Inventory[[#This Row],[condition]],Lookups!$A$38:$C$45,3,FALSE),1)</f>
        <v>0.99135053432734199</v>
      </c>
      <c r="BT389" s="4">
        <f>IF(Granger_Inventory[[#This Row],[decade]]="",1,_xlfn.IFNA(VLOOKUP(Granger_Inventory[[#This Row],[decade]],Lookups!$G$28:$I$42,3,FALSE),1))</f>
        <v>0.95532362136731586</v>
      </c>
      <c r="BU389" s="4">
        <f>_xlfn.IFNA(VLOOKUP(Granger_Inventory[[#This Row],[living_area_range]],Lookups!$A$48:$C$57,3,FALSE),1)</f>
        <v>0.97960506760539345</v>
      </c>
      <c r="BV389" s="4">
        <f>AVERAGE(Granger_Inventory[[#This Row],[qual_adj]:[living_range_adj]])</f>
        <v>0.97919474670480777</v>
      </c>
      <c r="BW389" s="8">
        <f>(Granger_Inventory[[#This Row],[sum_land]]-IF(Granger_Inventory[[#This Row],[no_utilities]]=1,12000,0))/IF(Granger_Inventory[[#This Row],[unbuildable]]=1,2,1)</f>
        <v>17680.230269359956</v>
      </c>
      <c r="BX389" s="8">
        <f>Granger_Inventory[[#This Row],[pre_res]]*Granger_Inventory[[#This Row],[overall_adj]]</f>
        <v>246150.12831028877</v>
      </c>
      <c r="BY389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89">
        <f>ROUND(Granger_Inventory[[#This Row],[detatched_value]]*Lookups!$I$45,-2)</f>
        <v>0</v>
      </c>
      <c r="CA389">
        <f>IF(ROUND(Granger_Inventory[[#This Row],[adj_res]]*Lookups!$I$45,-2)&lt;Granger_Inventory[[#This Row],[min_res]],Granger_Inventory[[#This Row],[min_res]],ROUND(Granger_Inventory[[#This Row],[adj_res]]*Lookups!$I$45,-2))</f>
        <v>233800</v>
      </c>
      <c r="CB389">
        <f>Granger_Inventory[[#This Row],[final_det]]+Granger_Inventory[[#This Row],[final_res]]</f>
        <v>233800</v>
      </c>
      <c r="CC389">
        <f>Granger_Inventory[[#This Row],[final_land]]+Granger_Inventory[[#This Row],[final_imp]]+Granger_Inventory[[#This Row],[crop_value]]</f>
        <v>250600</v>
      </c>
      <c r="CE389" t="str">
        <f t="shared" si="6"/>
        <v>update valuation set market_land =16800, market_bldg=233800, market_total =250600, market_mdno =402, market_date ='9/10/2023' where link_id = (select link_id from parcel where parcel_year = '2024' and parcel_id = '21102113523');</v>
      </c>
    </row>
    <row r="390" spans="1:83" x14ac:dyDescent="0.25">
      <c r="A390">
        <v>21102113524</v>
      </c>
      <c r="B390">
        <v>0.14000000000000001</v>
      </c>
      <c r="C390">
        <v>6000</v>
      </c>
      <c r="D390" t="s">
        <v>137</v>
      </c>
      <c r="E390" t="s">
        <v>54</v>
      </c>
      <c r="F390" t="s">
        <v>54</v>
      </c>
      <c r="G390">
        <v>3</v>
      </c>
      <c r="H390" t="s">
        <v>55</v>
      </c>
      <c r="I390">
        <v>95200</v>
      </c>
      <c r="J390">
        <v>25900</v>
      </c>
      <c r="K390">
        <v>0.14000000000000001</v>
      </c>
      <c r="L39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90">
        <v>0</v>
      </c>
      <c r="N390">
        <v>0</v>
      </c>
      <c r="O390">
        <v>0</v>
      </c>
      <c r="P390">
        <v>47108.068500000001</v>
      </c>
      <c r="Q390">
        <v>122298</v>
      </c>
      <c r="R390">
        <f>(Granger_Inventory[[#This Row],[ln_acres]]*Granger_Inventory[[#This Row],[coeff]])+Granger_Inventory[[#This Row],[const]]</f>
        <v>29678.220883257934</v>
      </c>
      <c r="S390" t="s">
        <v>69</v>
      </c>
      <c r="T390">
        <v>1</v>
      </c>
      <c r="U390" t="s">
        <v>78</v>
      </c>
      <c r="V390" t="s">
        <v>77</v>
      </c>
      <c r="W390">
        <v>0</v>
      </c>
      <c r="X390">
        <v>0</v>
      </c>
      <c r="Y390">
        <v>51</v>
      </c>
      <c r="Z390">
        <v>83</v>
      </c>
      <c r="AA390">
        <v>90</v>
      </c>
      <c r="AB390">
        <v>1500</v>
      </c>
      <c r="AC390">
        <v>1146</v>
      </c>
      <c r="AD390">
        <v>1146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100</v>
      </c>
      <c r="AM390">
        <v>0</v>
      </c>
      <c r="AN390">
        <v>126</v>
      </c>
      <c r="AO390">
        <v>0</v>
      </c>
      <c r="AP390">
        <v>5</v>
      </c>
      <c r="AQ390">
        <v>0</v>
      </c>
      <c r="AR390">
        <v>0</v>
      </c>
      <c r="AS390" t="s">
        <v>59</v>
      </c>
      <c r="AT390">
        <v>1</v>
      </c>
      <c r="AU390" t="s">
        <v>76</v>
      </c>
      <c r="AV390" t="s">
        <v>65</v>
      </c>
      <c r="AW390">
        <v>0</v>
      </c>
      <c r="AX390">
        <v>3</v>
      </c>
      <c r="AY390">
        <v>0</v>
      </c>
      <c r="AZ390">
        <v>0</v>
      </c>
      <c r="BA390">
        <v>100</v>
      </c>
      <c r="BB390">
        <v>100</v>
      </c>
      <c r="BC390">
        <v>100</v>
      </c>
      <c r="BD390">
        <v>100</v>
      </c>
      <c r="BE390">
        <v>1</v>
      </c>
      <c r="BF390">
        <v>15000</v>
      </c>
      <c r="BG390">
        <v>1000</v>
      </c>
      <c r="BH390" s="8">
        <f>Granger_Inventory[[#This Row],[land_extract]]*Lookups!$B$3</f>
        <v>17680.230269359956</v>
      </c>
      <c r="BI390" s="8">
        <f>IF(Granger_Inventory[[#This Row],[bldg_style]]="",0,Lookups!$B$2)</f>
        <v>29703.559000000001</v>
      </c>
      <c r="BJ390" s="8">
        <f>_xlfn.IFNA(VLOOKUP(Granger_Inventory[[#This Row],[quality]],Lookups!$H$2:$J$14,3,FALSE),0)</f>
        <v>23737.786340274597</v>
      </c>
      <c r="BK390" s="8">
        <f>_xlfn.IFNA(VLOOKUP(Granger_Inventory[[#This Row],[condition]],Lookups!$H$17:$J$24,3,FALSE),0)</f>
        <v>33736</v>
      </c>
      <c r="BL390" s="8">
        <f>Granger_Inventory[[#This Row],[Age]]*Lookups!$B$16</f>
        <v>-17208.481299999999</v>
      </c>
      <c r="BM390" s="8">
        <f>Granger_Inventory[[#This Row],[living_area]]*Lookups!$B$17</f>
        <v>77094.753713999991</v>
      </c>
      <c r="BN390" s="8">
        <f>(Granger_Inventory[[#This Row],[att_gar]]+Granger_Inventory[[#This Row],[blt_gar]])*Lookups!$B$18</f>
        <v>0</v>
      </c>
      <c r="BO390" s="8">
        <f>Granger_Inventory[[#This Row],[Patio]]*Lookups!$B$19</f>
        <v>0</v>
      </c>
      <c r="BP390" s="8">
        <f>SUM(Granger_Inventory[[#This Row],[Intercept]:[Patio_Value]])*Granger_Inventory[[#This Row],[res_pct]]</f>
        <v>147063.61775427457</v>
      </c>
      <c r="BQ390" s="8">
        <f>Granger_Inventory[[#This Row],[land_value]]</f>
        <v>17680.230269359956</v>
      </c>
      <c r="BR390" s="4">
        <f>_xlfn.IFNA(VLOOKUP(Granger_Inventory[[#This Row],[quality]],Lookups!$A$25:$C$35,3,FALSE),1)</f>
        <v>0.77695375541795109</v>
      </c>
      <c r="BS390" s="4">
        <f>_xlfn.IFNA(VLOOKUP(Granger_Inventory[[#This Row],[condition]],Lookups!$A$38:$C$45,3,FALSE),1)</f>
        <v>0.92294678898076177</v>
      </c>
      <c r="BT390" s="4">
        <f>IF(Granger_Inventory[[#This Row],[decade]]="",1,_xlfn.IFNA(VLOOKUP(Granger_Inventory[[#This Row],[decade]],Lookups!$G$28:$I$42,3,FALSE),1))</f>
        <v>0.95234610137492615</v>
      </c>
      <c r="BU390" s="4">
        <f>_xlfn.IFNA(VLOOKUP(Granger_Inventory[[#This Row],[living_area_range]],Lookups!$A$48:$C$57,3,FALSE),1)</f>
        <v>0.97960506760539345</v>
      </c>
      <c r="BV390" s="4">
        <f>AVERAGE(Granger_Inventory[[#This Row],[qual_adj]:[living_range_adj]])</f>
        <v>0.90796292834475811</v>
      </c>
      <c r="BW390" s="8">
        <f>(Granger_Inventory[[#This Row],[sum_land]]-IF(Granger_Inventory[[#This Row],[no_utilities]]=1,12000,0))/IF(Granger_Inventory[[#This Row],[unbuildable]]=1,2,1)</f>
        <v>17680.230269359956</v>
      </c>
      <c r="BX390" s="8">
        <f>Granger_Inventory[[#This Row],[pre_res]]*Granger_Inventory[[#This Row],[overall_adj]]</f>
        <v>133528.3130291453</v>
      </c>
      <c r="BY39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90">
        <f>ROUND(Granger_Inventory[[#This Row],[detatched_value]]*Lookups!$I$45,-2)</f>
        <v>0</v>
      </c>
      <c r="CA390">
        <f>IF(ROUND(Granger_Inventory[[#This Row],[adj_res]]*Lookups!$I$45,-2)&lt;Granger_Inventory[[#This Row],[min_res]],Granger_Inventory[[#This Row],[min_res]],ROUND(Granger_Inventory[[#This Row],[adj_res]]*Lookups!$I$45,-2))</f>
        <v>126900</v>
      </c>
      <c r="CB390">
        <f>Granger_Inventory[[#This Row],[final_det]]+Granger_Inventory[[#This Row],[final_res]]</f>
        <v>126900</v>
      </c>
      <c r="CC390">
        <f>Granger_Inventory[[#This Row],[final_land]]+Granger_Inventory[[#This Row],[final_imp]]+Granger_Inventory[[#This Row],[crop_value]]</f>
        <v>143700</v>
      </c>
      <c r="CE390" t="str">
        <f t="shared" si="6"/>
        <v>update valuation set market_land =16800, market_bldg=126900, market_total =143700, market_mdno =402, market_date ='9/10/2023' where link_id = (select link_id from parcel where parcel_year = '2024' and parcel_id = '21102113524');</v>
      </c>
    </row>
    <row r="391" spans="1:83" x14ac:dyDescent="0.25">
      <c r="A391">
        <v>21102113525</v>
      </c>
      <c r="B391">
        <v>0.14000000000000001</v>
      </c>
      <c r="C391">
        <v>6000</v>
      </c>
      <c r="D391" t="s">
        <v>137</v>
      </c>
      <c r="E391" t="s">
        <v>54</v>
      </c>
      <c r="F391" t="s">
        <v>54</v>
      </c>
      <c r="G391">
        <v>3</v>
      </c>
      <c r="H391" t="s">
        <v>55</v>
      </c>
      <c r="I391">
        <v>80900</v>
      </c>
      <c r="J391">
        <v>25900</v>
      </c>
      <c r="K391">
        <v>0.14000000000000001</v>
      </c>
      <c r="L39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91">
        <v>0</v>
      </c>
      <c r="N391">
        <v>0</v>
      </c>
      <c r="O391">
        <v>0</v>
      </c>
      <c r="P391">
        <v>47108.068500000001</v>
      </c>
      <c r="Q391">
        <v>122298</v>
      </c>
      <c r="R391">
        <f>(Granger_Inventory[[#This Row],[ln_acres]]*Granger_Inventory[[#This Row],[coeff]])+Granger_Inventory[[#This Row],[const]]</f>
        <v>29678.220883257934</v>
      </c>
      <c r="S391" t="s">
        <v>66</v>
      </c>
      <c r="T391">
        <v>1</v>
      </c>
      <c r="U391" t="s">
        <v>78</v>
      </c>
      <c r="V391" t="s">
        <v>77</v>
      </c>
      <c r="W391">
        <v>0</v>
      </c>
      <c r="X391">
        <v>0</v>
      </c>
      <c r="Y391">
        <v>57</v>
      </c>
      <c r="Z391">
        <v>103</v>
      </c>
      <c r="AA391">
        <v>110</v>
      </c>
      <c r="AB391">
        <v>1000</v>
      </c>
      <c r="AC391">
        <v>840</v>
      </c>
      <c r="AD391">
        <v>840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384</v>
      </c>
      <c r="AL391">
        <v>0</v>
      </c>
      <c r="AM391">
        <v>0</v>
      </c>
      <c r="AN391">
        <v>80</v>
      </c>
      <c r="AO391">
        <v>0</v>
      </c>
      <c r="AP391">
        <v>5</v>
      </c>
      <c r="AQ391">
        <v>0</v>
      </c>
      <c r="AR391">
        <v>0</v>
      </c>
      <c r="AS391" t="s">
        <v>59</v>
      </c>
      <c r="AT391">
        <v>1</v>
      </c>
      <c r="AU391" t="s">
        <v>60</v>
      </c>
      <c r="AV391" t="s">
        <v>61</v>
      </c>
      <c r="AW391">
        <v>0</v>
      </c>
      <c r="AX391">
        <v>3</v>
      </c>
      <c r="AY391">
        <v>0</v>
      </c>
      <c r="AZ391">
        <v>0</v>
      </c>
      <c r="BA391">
        <v>100</v>
      </c>
      <c r="BB391">
        <v>100</v>
      </c>
      <c r="BC391">
        <v>100</v>
      </c>
      <c r="BD391">
        <v>100</v>
      </c>
      <c r="BE391">
        <v>1</v>
      </c>
      <c r="BF391">
        <v>15000</v>
      </c>
      <c r="BG391">
        <v>1000</v>
      </c>
      <c r="BH391" s="8">
        <f>Granger_Inventory[[#This Row],[land_extract]]*Lookups!$B$3</f>
        <v>17680.230269359956</v>
      </c>
      <c r="BI391" s="8">
        <f>IF(Granger_Inventory[[#This Row],[bldg_style]]="",0,Lookups!$B$2)</f>
        <v>29703.559000000001</v>
      </c>
      <c r="BJ391" s="8">
        <f>_xlfn.IFNA(VLOOKUP(Granger_Inventory[[#This Row],[quality]],Lookups!$H$2:$J$14,3,FALSE),0)</f>
        <v>23737.786340274597</v>
      </c>
      <c r="BK391" s="8">
        <f>_xlfn.IFNA(VLOOKUP(Granger_Inventory[[#This Row],[condition]],Lookups!$H$17:$J$24,3,FALSE),0)</f>
        <v>33736</v>
      </c>
      <c r="BL391" s="8">
        <f>Granger_Inventory[[#This Row],[Age]]*Lookups!$B$16</f>
        <v>-21355.103299999999</v>
      </c>
      <c r="BM391" s="8">
        <f>Granger_Inventory[[#This Row],[living_area]]*Lookups!$B$17</f>
        <v>56509.243559999995</v>
      </c>
      <c r="BN391" s="8">
        <f>(Granger_Inventory[[#This Row],[att_gar]]+Granger_Inventory[[#This Row],[blt_gar]])*Lookups!$B$18</f>
        <v>0</v>
      </c>
      <c r="BO391" s="8">
        <f>Granger_Inventory[[#This Row],[Patio]]*Lookups!$B$19</f>
        <v>0</v>
      </c>
      <c r="BP391" s="8">
        <f>SUM(Granger_Inventory[[#This Row],[Intercept]:[Patio_Value]])*Granger_Inventory[[#This Row],[res_pct]]</f>
        <v>122331.48560027458</v>
      </c>
      <c r="BQ391" s="8">
        <f>Granger_Inventory[[#This Row],[land_value]]</f>
        <v>17680.230269359956</v>
      </c>
      <c r="BR391" s="4">
        <f>_xlfn.IFNA(VLOOKUP(Granger_Inventory[[#This Row],[quality]],Lookups!$A$25:$C$35,3,FALSE),1)</f>
        <v>0.77695375541795109</v>
      </c>
      <c r="BS391" s="4">
        <f>_xlfn.IFNA(VLOOKUP(Granger_Inventory[[#This Row],[condition]],Lookups!$A$38:$C$45,3,FALSE),1)</f>
        <v>0.92294678898076177</v>
      </c>
      <c r="BT391" s="4">
        <f>IF(Granger_Inventory[[#This Row],[decade]]="",1,_xlfn.IFNA(VLOOKUP(Granger_Inventory[[#This Row],[decade]],Lookups!$G$28:$I$42,3,FALSE),1))</f>
        <v>0.879441629375324</v>
      </c>
      <c r="BU391" s="4">
        <f>_xlfn.IFNA(VLOOKUP(Granger_Inventory[[#This Row],[living_area_range]],Lookups!$A$48:$C$57,3,FALSE),1)</f>
        <v>0.81272404900450645</v>
      </c>
      <c r="BV391" s="4">
        <f>AVERAGE(Granger_Inventory[[#This Row],[qual_adj]:[living_range_adj]])</f>
        <v>0.84801655569463574</v>
      </c>
      <c r="BW391" s="8">
        <f>(Granger_Inventory[[#This Row],[sum_land]]-IF(Granger_Inventory[[#This Row],[no_utilities]]=1,12000,0))/IF(Granger_Inventory[[#This Row],[unbuildable]]=1,2,1)</f>
        <v>17680.230269359956</v>
      </c>
      <c r="BX391" s="8">
        <f>Granger_Inventory[[#This Row],[pre_res]]*Granger_Inventory[[#This Row],[overall_adj]]</f>
        <v>103739.12507175277</v>
      </c>
      <c r="BY39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91">
        <f>ROUND(Granger_Inventory[[#This Row],[detatched_value]]*Lookups!$I$45,-2)</f>
        <v>0</v>
      </c>
      <c r="CA391">
        <f>IF(ROUND(Granger_Inventory[[#This Row],[adj_res]]*Lookups!$I$45,-2)&lt;Granger_Inventory[[#This Row],[min_res]],Granger_Inventory[[#This Row],[min_res]],ROUND(Granger_Inventory[[#This Row],[adj_res]]*Lookups!$I$45,-2))</f>
        <v>98600</v>
      </c>
      <c r="CB391">
        <f>Granger_Inventory[[#This Row],[final_det]]+Granger_Inventory[[#This Row],[final_res]]</f>
        <v>98600</v>
      </c>
      <c r="CC391">
        <f>Granger_Inventory[[#This Row],[final_land]]+Granger_Inventory[[#This Row],[final_imp]]+Granger_Inventory[[#This Row],[crop_value]]</f>
        <v>115400</v>
      </c>
      <c r="CE391" t="str">
        <f t="shared" si="6"/>
        <v>update valuation set market_land =16800, market_bldg=98600, market_total =115400, market_mdno =402, market_date ='9/10/2023' where link_id = (select link_id from parcel where parcel_year = '2024' and parcel_id = '21102113525');</v>
      </c>
    </row>
    <row r="392" spans="1:83" x14ac:dyDescent="0.25">
      <c r="A392">
        <v>21102113532</v>
      </c>
      <c r="B392">
        <v>0.14000000000000001</v>
      </c>
      <c r="C392">
        <v>6000</v>
      </c>
      <c r="D392" t="s">
        <v>137</v>
      </c>
      <c r="E392" t="s">
        <v>54</v>
      </c>
      <c r="F392" t="s">
        <v>54</v>
      </c>
      <c r="G392">
        <v>3</v>
      </c>
      <c r="H392" t="s">
        <v>55</v>
      </c>
      <c r="I392">
        <v>256500</v>
      </c>
      <c r="J392">
        <v>25900</v>
      </c>
      <c r="K392">
        <v>0.14000000000000001</v>
      </c>
      <c r="L39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92">
        <v>0</v>
      </c>
      <c r="N392">
        <v>0</v>
      </c>
      <c r="O392">
        <v>0</v>
      </c>
      <c r="P392">
        <v>47108.068500000001</v>
      </c>
      <c r="Q392">
        <v>122298</v>
      </c>
      <c r="R392">
        <f>(Granger_Inventory[[#This Row],[ln_acres]]*Granger_Inventory[[#This Row],[coeff]])+Granger_Inventory[[#This Row],[const]]</f>
        <v>29678.220883257934</v>
      </c>
      <c r="S392" t="s">
        <v>69</v>
      </c>
      <c r="T392">
        <v>1</v>
      </c>
      <c r="U392" t="s">
        <v>64</v>
      </c>
      <c r="V392" t="s">
        <v>70</v>
      </c>
      <c r="W392">
        <v>0</v>
      </c>
      <c r="X392">
        <v>0</v>
      </c>
      <c r="Y392">
        <v>53</v>
      </c>
      <c r="Z392">
        <v>93</v>
      </c>
      <c r="AA392">
        <v>100</v>
      </c>
      <c r="AB392">
        <v>2000</v>
      </c>
      <c r="AC392">
        <v>1512</v>
      </c>
      <c r="AD392">
        <v>1512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42</v>
      </c>
      <c r="AO392">
        <v>0</v>
      </c>
      <c r="AP392">
        <v>9</v>
      </c>
      <c r="AQ392">
        <v>0</v>
      </c>
      <c r="AR392">
        <v>0</v>
      </c>
      <c r="AS392" t="s">
        <v>59</v>
      </c>
      <c r="AT392">
        <v>1</v>
      </c>
      <c r="AU392" t="s">
        <v>60</v>
      </c>
      <c r="AV392" t="s">
        <v>65</v>
      </c>
      <c r="AW392">
        <v>1</v>
      </c>
      <c r="AX392">
        <v>4</v>
      </c>
      <c r="AY392">
        <v>0</v>
      </c>
      <c r="AZ392">
        <v>0</v>
      </c>
      <c r="BA392">
        <v>100</v>
      </c>
      <c r="BB392">
        <v>100</v>
      </c>
      <c r="BC392">
        <v>100</v>
      </c>
      <c r="BD392">
        <v>100</v>
      </c>
      <c r="BE392">
        <v>1</v>
      </c>
      <c r="BF392">
        <v>15000</v>
      </c>
      <c r="BG392">
        <v>1000</v>
      </c>
      <c r="BH392" s="8">
        <f>Granger_Inventory[[#This Row],[land_extract]]*Lookups!$B$3</f>
        <v>17680.230269359956</v>
      </c>
      <c r="BI392" s="8">
        <f>IF(Granger_Inventory[[#This Row],[bldg_style]]="",0,Lookups!$B$2)</f>
        <v>29703.559000000001</v>
      </c>
      <c r="BJ392" s="8">
        <f>_xlfn.IFNA(VLOOKUP(Granger_Inventory[[#This Row],[quality]],Lookups!$H$2:$J$14,3,FALSE),0)</f>
        <v>36568</v>
      </c>
      <c r="BK392" s="8">
        <f>_xlfn.IFNA(VLOOKUP(Granger_Inventory[[#This Row],[condition]],Lookups!$H$17:$J$24,3,FALSE),0)</f>
        <v>80695</v>
      </c>
      <c r="BL392" s="8">
        <f>Granger_Inventory[[#This Row],[Age]]*Lookups!$B$16</f>
        <v>-19281.792300000001</v>
      </c>
      <c r="BM392" s="8">
        <f>Granger_Inventory[[#This Row],[living_area]]*Lookups!$B$17</f>
        <v>101716.638408</v>
      </c>
      <c r="BN392" s="8">
        <f>(Granger_Inventory[[#This Row],[att_gar]]+Granger_Inventory[[#This Row],[blt_gar]])*Lookups!$B$18</f>
        <v>0</v>
      </c>
      <c r="BO392" s="8">
        <f>Granger_Inventory[[#This Row],[Patio]]*Lookups!$B$19</f>
        <v>0</v>
      </c>
      <c r="BP392" s="8">
        <f>SUM(Granger_Inventory[[#This Row],[Intercept]:[Patio_Value]])*Granger_Inventory[[#This Row],[res_pct]]</f>
        <v>229401.40510800001</v>
      </c>
      <c r="BQ392" s="8">
        <f>Granger_Inventory[[#This Row],[land_value]]</f>
        <v>17680.230269359956</v>
      </c>
      <c r="BR392" s="4">
        <f>_xlfn.IFNA(VLOOKUP(Granger_Inventory[[#This Row],[quality]],Lookups!$A$25:$C$35,3,FALSE),1)</f>
        <v>0.99049976351917957</v>
      </c>
      <c r="BS392" s="4">
        <f>_xlfn.IFNA(VLOOKUP(Granger_Inventory[[#This Row],[condition]],Lookups!$A$38:$C$45,3,FALSE),1)</f>
        <v>0.99484195314749324</v>
      </c>
      <c r="BT392" s="4">
        <f>IF(Granger_Inventory[[#This Row],[decade]]="",1,_xlfn.IFNA(VLOOKUP(Granger_Inventory[[#This Row],[decade]],Lookups!$G$28:$I$42,3,FALSE),1))</f>
        <v>0.879441629375324</v>
      </c>
      <c r="BU392" s="4">
        <f>_xlfn.IFNA(VLOOKUP(Granger_Inventory[[#This Row],[living_area_range]],Lookups!$A$48:$C$57,3,FALSE),1)</f>
        <v>0.97860968051050168</v>
      </c>
      <c r="BV392" s="4">
        <f>AVERAGE(Granger_Inventory[[#This Row],[qual_adj]:[living_range_adj]])</f>
        <v>0.96084825663812468</v>
      </c>
      <c r="BW392" s="8">
        <f>(Granger_Inventory[[#This Row],[sum_land]]-IF(Granger_Inventory[[#This Row],[no_utilities]]=1,12000,0))/IF(Granger_Inventory[[#This Row],[unbuildable]]=1,2,1)</f>
        <v>17680.230269359956</v>
      </c>
      <c r="BX392" s="8">
        <f>Granger_Inventory[[#This Row],[pre_res]]*Granger_Inventory[[#This Row],[overall_adj]]</f>
        <v>220419.94016835801</v>
      </c>
      <c r="BY39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92">
        <f>ROUND(Granger_Inventory[[#This Row],[detatched_value]]*Lookups!$I$45,-2)</f>
        <v>0</v>
      </c>
      <c r="CA392">
        <f>IF(ROUND(Granger_Inventory[[#This Row],[adj_res]]*Lookups!$I$45,-2)&lt;Granger_Inventory[[#This Row],[min_res]],Granger_Inventory[[#This Row],[min_res]],ROUND(Granger_Inventory[[#This Row],[adj_res]]*Lookups!$I$45,-2))</f>
        <v>209400</v>
      </c>
      <c r="CB392">
        <f>Granger_Inventory[[#This Row],[final_det]]+Granger_Inventory[[#This Row],[final_res]]</f>
        <v>209400</v>
      </c>
      <c r="CC392">
        <f>Granger_Inventory[[#This Row],[final_land]]+Granger_Inventory[[#This Row],[final_imp]]+Granger_Inventory[[#This Row],[crop_value]]</f>
        <v>226200</v>
      </c>
      <c r="CE392" t="str">
        <f t="shared" si="6"/>
        <v>update valuation set market_land =16800, market_bldg=209400, market_total =226200, market_mdno =402, market_date ='9/10/2023' where link_id = (select link_id from parcel where parcel_year = '2024' and parcel_id = '21102113532');</v>
      </c>
    </row>
    <row r="393" spans="1:83" x14ac:dyDescent="0.25">
      <c r="A393">
        <v>21102113534</v>
      </c>
      <c r="B393">
        <v>0.14000000000000001</v>
      </c>
      <c r="C393">
        <v>6000</v>
      </c>
      <c r="D393" t="s">
        <v>137</v>
      </c>
      <c r="E393" t="s">
        <v>54</v>
      </c>
      <c r="F393" t="s">
        <v>54</v>
      </c>
      <c r="G393">
        <v>3</v>
      </c>
      <c r="H393" t="s">
        <v>55</v>
      </c>
      <c r="I393">
        <v>269300</v>
      </c>
      <c r="J393">
        <v>25900</v>
      </c>
      <c r="K393">
        <v>0.14000000000000001</v>
      </c>
      <c r="L39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393">
        <v>0</v>
      </c>
      <c r="N393">
        <v>0</v>
      </c>
      <c r="O393">
        <v>0</v>
      </c>
      <c r="P393">
        <v>47108.068500000001</v>
      </c>
      <c r="Q393">
        <v>122298</v>
      </c>
      <c r="R393">
        <f>(Granger_Inventory[[#This Row],[ln_acres]]*Granger_Inventory[[#This Row],[coeff]])+Granger_Inventory[[#This Row],[const]]</f>
        <v>29678.220883257934</v>
      </c>
      <c r="S393" t="s">
        <v>62</v>
      </c>
      <c r="T393">
        <v>2</v>
      </c>
      <c r="U393" t="s">
        <v>64</v>
      </c>
      <c r="V393" t="s">
        <v>77</v>
      </c>
      <c r="W393">
        <v>0</v>
      </c>
      <c r="X393">
        <v>0</v>
      </c>
      <c r="Y393">
        <v>49</v>
      </c>
      <c r="Z393">
        <v>68</v>
      </c>
      <c r="AA393">
        <v>70</v>
      </c>
      <c r="AB393">
        <v>2500</v>
      </c>
      <c r="AC393">
        <v>2178</v>
      </c>
      <c r="AD393">
        <v>1472</v>
      </c>
      <c r="AE393">
        <v>250</v>
      </c>
      <c r="AF393">
        <v>0</v>
      </c>
      <c r="AG393">
        <v>456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60</v>
      </c>
      <c r="AO393">
        <v>0</v>
      </c>
      <c r="AP393">
        <v>11</v>
      </c>
      <c r="AQ393">
        <v>0</v>
      </c>
      <c r="AR393">
        <v>0</v>
      </c>
      <c r="AS393" t="s">
        <v>59</v>
      </c>
      <c r="AT393">
        <v>1</v>
      </c>
      <c r="AU393" t="s">
        <v>60</v>
      </c>
      <c r="AV393" t="s">
        <v>61</v>
      </c>
      <c r="AW393">
        <v>0</v>
      </c>
      <c r="AX393">
        <v>5</v>
      </c>
      <c r="AY393">
        <v>0</v>
      </c>
      <c r="AZ393">
        <v>6000</v>
      </c>
      <c r="BA393">
        <v>100</v>
      </c>
      <c r="BB393">
        <v>100</v>
      </c>
      <c r="BC393">
        <v>100</v>
      </c>
      <c r="BD393">
        <v>100</v>
      </c>
      <c r="BE393">
        <v>1</v>
      </c>
      <c r="BF393">
        <v>15000</v>
      </c>
      <c r="BG393">
        <v>1000</v>
      </c>
      <c r="BH393" s="8">
        <f>Granger_Inventory[[#This Row],[land_extract]]*Lookups!$B$3</f>
        <v>17680.230269359956</v>
      </c>
      <c r="BI393" s="8">
        <f>IF(Granger_Inventory[[#This Row],[bldg_style]]="",0,Lookups!$B$2)</f>
        <v>29703.559000000001</v>
      </c>
      <c r="BJ393" s="8">
        <f>_xlfn.IFNA(VLOOKUP(Granger_Inventory[[#This Row],[quality]],Lookups!$H$2:$J$14,3,FALSE),0)</f>
        <v>36568</v>
      </c>
      <c r="BK393" s="8">
        <f>_xlfn.IFNA(VLOOKUP(Granger_Inventory[[#This Row],[condition]],Lookups!$H$17:$J$24,3,FALSE),0)</f>
        <v>33736</v>
      </c>
      <c r="BL393" s="8">
        <f>Granger_Inventory[[#This Row],[Age]]*Lookups!$B$16</f>
        <v>-14098.514799999999</v>
      </c>
      <c r="BM393" s="8">
        <f>Granger_Inventory[[#This Row],[living_area]]*Lookups!$B$17</f>
        <v>146520.39580199998</v>
      </c>
      <c r="BN393" s="8">
        <f>(Granger_Inventory[[#This Row],[att_gar]]+Granger_Inventory[[#This Row],[blt_gar]])*Lookups!$B$18</f>
        <v>0</v>
      </c>
      <c r="BO393" s="8">
        <f>Granger_Inventory[[#This Row],[Patio]]*Lookups!$B$19</f>
        <v>0</v>
      </c>
      <c r="BP393" s="8">
        <f>SUM(Granger_Inventory[[#This Row],[Intercept]:[Patio_Value]])*Granger_Inventory[[#This Row],[res_pct]]</f>
        <v>232429.44000199999</v>
      </c>
      <c r="BQ393" s="8">
        <f>Granger_Inventory[[#This Row],[land_value]]</f>
        <v>17680.230269359956</v>
      </c>
      <c r="BR393" s="4">
        <f>_xlfn.IFNA(VLOOKUP(Granger_Inventory[[#This Row],[quality]],Lookups!$A$25:$C$35,3,FALSE),1)</f>
        <v>0.99049976351917957</v>
      </c>
      <c r="BS393" s="4">
        <f>_xlfn.IFNA(VLOOKUP(Granger_Inventory[[#This Row],[condition]],Lookups!$A$38:$C$45,3,FALSE),1)</f>
        <v>0.92294678898076177</v>
      </c>
      <c r="BT393" s="4">
        <f>IF(Granger_Inventory[[#This Row],[decade]]="",1,_xlfn.IFNA(VLOOKUP(Granger_Inventory[[#This Row],[decade]],Lookups!$G$28:$I$42,3,FALSE),1))</f>
        <v>1.0270382440255921</v>
      </c>
      <c r="BU393" s="4">
        <f>_xlfn.IFNA(VLOOKUP(Granger_Inventory[[#This Row],[living_area_range]],Lookups!$A$48:$C$57,3,FALSE),1)</f>
        <v>1.0000039906678986</v>
      </c>
      <c r="BV393" s="4">
        <f>AVERAGE(Granger_Inventory[[#This Row],[qual_adj]:[living_range_adj]])</f>
        <v>0.98512219679835789</v>
      </c>
      <c r="BW393" s="8">
        <f>(Granger_Inventory[[#This Row],[sum_land]]-IF(Granger_Inventory[[#This Row],[no_utilities]]=1,12000,0))/IF(Granger_Inventory[[#This Row],[unbuildable]]=1,2,1)</f>
        <v>17680.230269359956</v>
      </c>
      <c r="BX393" s="8">
        <f>Granger_Inventory[[#This Row],[pre_res]]*Granger_Inventory[[#This Row],[overall_adj]]</f>
        <v>228971.40053538236</v>
      </c>
      <c r="BY39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393">
        <f>ROUND(Granger_Inventory[[#This Row],[detatched_value]]*Lookups!$I$45,-2)</f>
        <v>5700</v>
      </c>
      <c r="CA393">
        <f>IF(ROUND(Granger_Inventory[[#This Row],[adj_res]]*Lookups!$I$45,-2)&lt;Granger_Inventory[[#This Row],[min_res]],Granger_Inventory[[#This Row],[min_res]],ROUND(Granger_Inventory[[#This Row],[adj_res]]*Lookups!$I$45,-2))</f>
        <v>217500</v>
      </c>
      <c r="CB393">
        <f>Granger_Inventory[[#This Row],[final_det]]+Granger_Inventory[[#This Row],[final_res]]</f>
        <v>223200</v>
      </c>
      <c r="CC393">
        <f>Granger_Inventory[[#This Row],[final_land]]+Granger_Inventory[[#This Row],[final_imp]]+Granger_Inventory[[#This Row],[crop_value]]</f>
        <v>240000</v>
      </c>
      <c r="CE393" t="str">
        <f t="shared" si="6"/>
        <v>update valuation set market_land =16800, market_bldg=223200, market_total =240000, market_mdno =402, market_date ='9/10/2023' where link_id = (select link_id from parcel where parcel_year = '2024' and parcel_id = '21102113534');</v>
      </c>
    </row>
    <row r="394" spans="1:83" x14ac:dyDescent="0.25">
      <c r="A394">
        <v>21102113555</v>
      </c>
      <c r="B394">
        <v>0.21</v>
      </c>
      <c r="C394">
        <v>8999</v>
      </c>
      <c r="D394" t="s">
        <v>137</v>
      </c>
      <c r="E394" t="s">
        <v>54</v>
      </c>
      <c r="F394" t="s">
        <v>54</v>
      </c>
      <c r="G394">
        <v>3</v>
      </c>
      <c r="H394" t="s">
        <v>55</v>
      </c>
      <c r="I394">
        <v>0</v>
      </c>
      <c r="J394">
        <v>28300</v>
      </c>
      <c r="K394">
        <v>0.21</v>
      </c>
      <c r="L394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394">
        <v>0</v>
      </c>
      <c r="N394">
        <v>0</v>
      </c>
      <c r="O394">
        <v>0</v>
      </c>
      <c r="P394">
        <v>47108.068500000001</v>
      </c>
      <c r="Q394">
        <v>122298</v>
      </c>
      <c r="R394">
        <f>(Granger_Inventory[[#This Row],[ln_acres]]*Granger_Inventory[[#This Row],[coeff]])+Granger_Inventory[[#This Row],[const]]</f>
        <v>48778.898970377239</v>
      </c>
      <c r="S394" t="s">
        <v>69</v>
      </c>
      <c r="T394">
        <v>1</v>
      </c>
      <c r="U394" t="s">
        <v>106</v>
      </c>
      <c r="V394" t="s">
        <v>79</v>
      </c>
      <c r="W394">
        <v>0</v>
      </c>
      <c r="X394">
        <v>0</v>
      </c>
      <c r="Y394">
        <v>57</v>
      </c>
      <c r="Z394">
        <v>103</v>
      </c>
      <c r="AA394">
        <v>110</v>
      </c>
      <c r="AB394">
        <v>500</v>
      </c>
      <c r="AC394">
        <v>480</v>
      </c>
      <c r="AD394">
        <v>480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5</v>
      </c>
      <c r="AQ394">
        <v>0</v>
      </c>
      <c r="AR394">
        <v>0</v>
      </c>
      <c r="AS394" t="s">
        <v>59</v>
      </c>
      <c r="AT394">
        <v>1</v>
      </c>
      <c r="AU394" t="s">
        <v>76</v>
      </c>
      <c r="AV394" t="s">
        <v>65</v>
      </c>
      <c r="AW394">
        <v>0</v>
      </c>
      <c r="AX394">
        <v>1</v>
      </c>
      <c r="AY394">
        <v>0</v>
      </c>
      <c r="AZ394">
        <v>82200</v>
      </c>
      <c r="BA394">
        <v>100</v>
      </c>
      <c r="BB394">
        <v>100</v>
      </c>
      <c r="BC394">
        <v>100</v>
      </c>
      <c r="BD394">
        <v>100</v>
      </c>
      <c r="BE394">
        <v>1</v>
      </c>
      <c r="BF394">
        <v>15000</v>
      </c>
      <c r="BG394">
        <v>1000</v>
      </c>
      <c r="BH394" s="8">
        <f>Granger_Inventory[[#This Row],[land_extract]]*Lookups!$B$3</f>
        <v>29059.09250674201</v>
      </c>
      <c r="BI394" s="8">
        <f>IF(Granger_Inventory[[#This Row],[bldg_style]]="",0,Lookups!$B$2)</f>
        <v>29703.559000000001</v>
      </c>
      <c r="BJ394" s="8">
        <f>_xlfn.IFNA(VLOOKUP(Granger_Inventory[[#This Row],[quality]],Lookups!$H$2:$J$14,3,FALSE),0)</f>
        <v>17985.540667792327</v>
      </c>
      <c r="BK394" s="8">
        <f>_xlfn.IFNA(VLOOKUP(Granger_Inventory[[#This Row],[condition]],Lookups!$H$17:$J$24,3,FALSE),0)</f>
        <v>86727</v>
      </c>
      <c r="BL394" s="8">
        <f>Granger_Inventory[[#This Row],[Age]]*Lookups!$B$16</f>
        <v>-21355.103299999999</v>
      </c>
      <c r="BM394" s="8">
        <f>Granger_Inventory[[#This Row],[living_area]]*Lookups!$B$17</f>
        <v>32290.996319999998</v>
      </c>
      <c r="BN394" s="8">
        <f>(Granger_Inventory[[#This Row],[att_gar]]+Granger_Inventory[[#This Row],[blt_gar]])*Lookups!$B$18</f>
        <v>0</v>
      </c>
      <c r="BO394" s="8">
        <f>Granger_Inventory[[#This Row],[Patio]]*Lookups!$B$19</f>
        <v>0</v>
      </c>
      <c r="BP394" s="8">
        <f>SUM(Granger_Inventory[[#This Row],[Intercept]:[Patio_Value]])*Granger_Inventory[[#This Row],[res_pct]]</f>
        <v>145351.99268779231</v>
      </c>
      <c r="BQ394" s="8">
        <f>Granger_Inventory[[#This Row],[land_value]]</f>
        <v>29059.09250674201</v>
      </c>
      <c r="BR394" s="4">
        <f>_xlfn.IFNA(VLOOKUP(Granger_Inventory[[#This Row],[quality]],Lookups!$A$25:$C$35,3,FALSE),1)</f>
        <v>0.77695375541795109</v>
      </c>
      <c r="BS394" s="4">
        <f>_xlfn.IFNA(VLOOKUP(Granger_Inventory[[#This Row],[condition]],Lookups!$A$38:$C$45,3,FALSE),1)</f>
        <v>0.85322907131620684</v>
      </c>
      <c r="BT394" s="4">
        <f>IF(Granger_Inventory[[#This Row],[decade]]="",1,_xlfn.IFNA(VLOOKUP(Granger_Inventory[[#This Row],[decade]],Lookups!$G$28:$I$42,3,FALSE),1))</f>
        <v>0.879441629375324</v>
      </c>
      <c r="BU394" s="4">
        <f>_xlfn.IFNA(VLOOKUP(Granger_Inventory[[#This Row],[living_area_range]],Lookups!$A$48:$C$57,3,FALSE),1)</f>
        <v>0.81272404900450645</v>
      </c>
      <c r="BV394" s="4">
        <f>AVERAGE(Granger_Inventory[[#This Row],[qual_adj]:[living_range_adj]])</f>
        <v>0.83058712627849718</v>
      </c>
      <c r="BW394" s="8">
        <f>(Granger_Inventory[[#This Row],[sum_land]]-IF(Granger_Inventory[[#This Row],[no_utilities]]=1,12000,0))/IF(Granger_Inventory[[#This Row],[unbuildable]]=1,2,1)</f>
        <v>29059.09250674201</v>
      </c>
      <c r="BX394" s="8">
        <f>Granger_Inventory[[#This Row],[pre_res]]*Granger_Inventory[[#This Row],[overall_adj]]</f>
        <v>120727.49390540655</v>
      </c>
      <c r="BY394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394">
        <f>ROUND(Granger_Inventory[[#This Row],[detatched_value]]*Lookups!$I$45,-2)</f>
        <v>78100</v>
      </c>
      <c r="CA394">
        <f>IF(ROUND(Granger_Inventory[[#This Row],[adj_res]]*Lookups!$I$45,-2)&lt;Granger_Inventory[[#This Row],[min_res]],Granger_Inventory[[#This Row],[min_res]],ROUND(Granger_Inventory[[#This Row],[adj_res]]*Lookups!$I$45,-2))</f>
        <v>114700</v>
      </c>
      <c r="CB394">
        <f>Granger_Inventory[[#This Row],[final_det]]+Granger_Inventory[[#This Row],[final_res]]</f>
        <v>192800</v>
      </c>
      <c r="CC394">
        <f>Granger_Inventory[[#This Row],[final_land]]+Granger_Inventory[[#This Row],[final_imp]]+Granger_Inventory[[#This Row],[crop_value]]</f>
        <v>220400</v>
      </c>
      <c r="CE394" t="str">
        <f t="shared" si="6"/>
        <v>update valuation set market_land =27600, market_bldg=192800, market_total =220400, market_mdno =402, market_date ='9/10/2023' where link_id = (select link_id from parcel where parcel_year = '2024' and parcel_id = '21102113555');</v>
      </c>
    </row>
    <row r="395" spans="1:83" x14ac:dyDescent="0.25">
      <c r="A395">
        <v>21102113562</v>
      </c>
      <c r="B395">
        <v>1.47</v>
      </c>
      <c r="C395">
        <v>64097</v>
      </c>
      <c r="D395" t="s">
        <v>137</v>
      </c>
      <c r="E395" t="s">
        <v>54</v>
      </c>
      <c r="F395" t="s">
        <v>54</v>
      </c>
      <c r="G395">
        <v>3</v>
      </c>
      <c r="H395" t="s">
        <v>55</v>
      </c>
      <c r="I395">
        <v>92000</v>
      </c>
      <c r="J395">
        <v>39900</v>
      </c>
      <c r="K395">
        <v>1.47</v>
      </c>
      <c r="L395">
        <f>IF(Granger_Inventory[[#This Row],[parcel_acres]]-Granger_Inventory[[#This Row],[non_valued_acres]] =0,0,LN(Granger_Inventory[[#This Row],[parcel_acres]]-Granger_Inventory[[#This Row],[non_valued_acres]]))</f>
        <v>0.38526240079064489</v>
      </c>
      <c r="M395">
        <v>0</v>
      </c>
      <c r="N395">
        <v>0</v>
      </c>
      <c r="O395">
        <v>0</v>
      </c>
      <c r="P395">
        <v>47108.068500000001</v>
      </c>
      <c r="Q395">
        <v>122298</v>
      </c>
      <c r="R395">
        <f>(Granger_Inventory[[#This Row],[ln_acres]]*Granger_Inventory[[#This Row],[coeff]])+Granger_Inventory[[#This Row],[const]]</f>
        <v>140446.96756692015</v>
      </c>
      <c r="S395" t="s">
        <v>69</v>
      </c>
      <c r="T395">
        <v>1</v>
      </c>
      <c r="U395" t="s">
        <v>78</v>
      </c>
      <c r="V395" t="s">
        <v>77</v>
      </c>
      <c r="W395">
        <v>0</v>
      </c>
      <c r="X395">
        <v>0</v>
      </c>
      <c r="Y395">
        <v>52</v>
      </c>
      <c r="Z395">
        <v>88</v>
      </c>
      <c r="AA395">
        <v>90</v>
      </c>
      <c r="AB395">
        <v>1500</v>
      </c>
      <c r="AC395">
        <v>1104</v>
      </c>
      <c r="AD395">
        <v>1104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203</v>
      </c>
      <c r="AO395">
        <v>0</v>
      </c>
      <c r="AP395">
        <v>5</v>
      </c>
      <c r="AQ395">
        <v>0</v>
      </c>
      <c r="AR395">
        <v>0</v>
      </c>
      <c r="AS395" t="s">
        <v>81</v>
      </c>
      <c r="AT395">
        <v>0</v>
      </c>
      <c r="AU395" t="s">
        <v>83</v>
      </c>
      <c r="AV395" t="s">
        <v>61</v>
      </c>
      <c r="AW395">
        <v>0</v>
      </c>
      <c r="AX395">
        <v>3</v>
      </c>
      <c r="AY395">
        <v>0</v>
      </c>
      <c r="AZ395">
        <v>0</v>
      </c>
      <c r="BA395">
        <v>100</v>
      </c>
      <c r="BB395">
        <v>100</v>
      </c>
      <c r="BC395">
        <v>100</v>
      </c>
      <c r="BD395">
        <v>100</v>
      </c>
      <c r="BE395">
        <v>1</v>
      </c>
      <c r="BF395">
        <v>15000</v>
      </c>
      <c r="BG395">
        <v>1000</v>
      </c>
      <c r="BH395" s="8">
        <f>Granger_Inventory[[#This Row],[land_extract]]*Lookups!$B$3</f>
        <v>83668.584346215401</v>
      </c>
      <c r="BI395" s="8">
        <f>IF(Granger_Inventory[[#This Row],[bldg_style]]="",0,Lookups!$B$2)</f>
        <v>29703.559000000001</v>
      </c>
      <c r="BJ395" s="8">
        <f>_xlfn.IFNA(VLOOKUP(Granger_Inventory[[#This Row],[quality]],Lookups!$H$2:$J$14,3,FALSE),0)</f>
        <v>23737.786340274597</v>
      </c>
      <c r="BK395" s="8">
        <f>_xlfn.IFNA(VLOOKUP(Granger_Inventory[[#This Row],[condition]],Lookups!$H$17:$J$24,3,FALSE),0)</f>
        <v>33736</v>
      </c>
      <c r="BL395" s="8">
        <f>Granger_Inventory[[#This Row],[Age]]*Lookups!$B$16</f>
        <v>-18245.1368</v>
      </c>
      <c r="BM395" s="8">
        <f>Granger_Inventory[[#This Row],[living_area]]*Lookups!$B$17</f>
        <v>74269.291536000004</v>
      </c>
      <c r="BN395" s="8">
        <f>(Granger_Inventory[[#This Row],[att_gar]]+Granger_Inventory[[#This Row],[blt_gar]])*Lookups!$B$18</f>
        <v>0</v>
      </c>
      <c r="BO395" s="8">
        <f>Granger_Inventory[[#This Row],[Patio]]*Lookups!$B$19</f>
        <v>0</v>
      </c>
      <c r="BP395" s="8">
        <f>SUM(Granger_Inventory[[#This Row],[Intercept]:[Patio_Value]])*Granger_Inventory[[#This Row],[res_pct]]</f>
        <v>143201.50007627459</v>
      </c>
      <c r="BQ395" s="8">
        <f>Granger_Inventory[[#This Row],[land_value]]</f>
        <v>83668.584346215401</v>
      </c>
      <c r="BR395" s="4">
        <f>_xlfn.IFNA(VLOOKUP(Granger_Inventory[[#This Row],[quality]],Lookups!$A$25:$C$35,3,FALSE),1)</f>
        <v>0.77695375541795109</v>
      </c>
      <c r="BS395" s="4">
        <f>_xlfn.IFNA(VLOOKUP(Granger_Inventory[[#This Row],[condition]],Lookups!$A$38:$C$45,3,FALSE),1)</f>
        <v>0.92294678898076177</v>
      </c>
      <c r="BT395" s="4">
        <f>IF(Granger_Inventory[[#This Row],[decade]]="",1,_xlfn.IFNA(VLOOKUP(Granger_Inventory[[#This Row],[decade]],Lookups!$G$28:$I$42,3,FALSE),1))</f>
        <v>0.95234610137492615</v>
      </c>
      <c r="BU395" s="4">
        <f>_xlfn.IFNA(VLOOKUP(Granger_Inventory[[#This Row],[living_area_range]],Lookups!$A$48:$C$57,3,FALSE),1)</f>
        <v>0.97960506760539345</v>
      </c>
      <c r="BV395" s="4">
        <f>AVERAGE(Granger_Inventory[[#This Row],[qual_adj]:[living_range_adj]])</f>
        <v>0.90796292834475811</v>
      </c>
      <c r="BW395" s="8">
        <f>(Granger_Inventory[[#This Row],[sum_land]]-IF(Granger_Inventory[[#This Row],[no_utilities]]=1,12000,0))/IF(Granger_Inventory[[#This Row],[unbuildable]]=1,2,1)</f>
        <v>83668.584346215401</v>
      </c>
      <c r="BX395" s="8">
        <f>Granger_Inventory[[#This Row],[pre_res]]*Granger_Inventory[[#This Row],[overall_adj]]</f>
        <v>130021.65335261638</v>
      </c>
      <c r="BY395">
        <f>IF(ROUND(Granger_Inventory[[#This Row],[adj_land]]*Lookups!$I$45,-2)&lt;Granger_Inventory[[#This Row],[min_land]],Granger_Inventory[[#This Row],[min_land]],ROUND(Granger_Inventory[[#This Row],[adj_land]]*Lookups!$I$45,-2))</f>
        <v>79500</v>
      </c>
      <c r="BZ395">
        <f>ROUND(Granger_Inventory[[#This Row],[detatched_value]]*Lookups!$I$45,-2)</f>
        <v>0</v>
      </c>
      <c r="CA395">
        <f>IF(ROUND(Granger_Inventory[[#This Row],[adj_res]]*Lookups!$I$45,-2)&lt;Granger_Inventory[[#This Row],[min_res]],Granger_Inventory[[#This Row],[min_res]],ROUND(Granger_Inventory[[#This Row],[adj_res]]*Lookups!$I$45,-2))</f>
        <v>123500</v>
      </c>
      <c r="CB395">
        <f>Granger_Inventory[[#This Row],[final_det]]+Granger_Inventory[[#This Row],[final_res]]</f>
        <v>123500</v>
      </c>
      <c r="CC395">
        <f>Granger_Inventory[[#This Row],[final_land]]+Granger_Inventory[[#This Row],[final_imp]]+Granger_Inventory[[#This Row],[crop_value]]</f>
        <v>203000</v>
      </c>
      <c r="CE395" t="str">
        <f t="shared" si="6"/>
        <v>update valuation set market_land =79500, market_bldg=123500, market_total =203000, market_mdno =402, market_date ='9/10/2023' where link_id = (select link_id from parcel where parcel_year = '2024' and parcel_id = '21102113562');</v>
      </c>
    </row>
    <row r="396" spans="1:83" x14ac:dyDescent="0.25">
      <c r="A396">
        <v>21102113564</v>
      </c>
      <c r="B396">
        <v>1.38</v>
      </c>
      <c r="C396">
        <v>60268</v>
      </c>
      <c r="D396" t="s">
        <v>137</v>
      </c>
      <c r="E396" t="s">
        <v>54</v>
      </c>
      <c r="F396" t="s">
        <v>54</v>
      </c>
      <c r="G396">
        <v>3</v>
      </c>
      <c r="H396" t="s">
        <v>55</v>
      </c>
      <c r="I396">
        <v>46800</v>
      </c>
      <c r="J396">
        <v>39500</v>
      </c>
      <c r="K396">
        <v>1.38</v>
      </c>
      <c r="L396">
        <f>IF(Granger_Inventory[[#This Row],[parcel_acres]]-Granger_Inventory[[#This Row],[non_valued_acres]] =0,0,LN(Granger_Inventory[[#This Row],[parcel_acres]]-Granger_Inventory[[#This Row],[non_valued_acres]]))</f>
        <v>0.32208349916911322</v>
      </c>
      <c r="M396">
        <v>0</v>
      </c>
      <c r="N396">
        <v>0</v>
      </c>
      <c r="O396">
        <v>0</v>
      </c>
      <c r="P396">
        <v>47108.068500000001</v>
      </c>
      <c r="Q396">
        <v>122298</v>
      </c>
      <c r="R396">
        <f>(Granger_Inventory[[#This Row],[ln_acres]]*Granger_Inventory[[#This Row],[coeff]])+Granger_Inventory[[#This Row],[const]]</f>
        <v>137470.73154157828</v>
      </c>
      <c r="S396" t="s">
        <v>69</v>
      </c>
      <c r="T396">
        <v>1</v>
      </c>
      <c r="U396" t="s">
        <v>78</v>
      </c>
      <c r="V396" t="s">
        <v>79</v>
      </c>
      <c r="W396">
        <v>0</v>
      </c>
      <c r="X396">
        <v>0</v>
      </c>
      <c r="Y396">
        <v>49</v>
      </c>
      <c r="Z396">
        <v>68</v>
      </c>
      <c r="AA396">
        <v>70</v>
      </c>
      <c r="AB396">
        <v>1000</v>
      </c>
      <c r="AC396">
        <v>896</v>
      </c>
      <c r="AD396">
        <v>896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80</v>
      </c>
      <c r="AO396">
        <v>0</v>
      </c>
      <c r="AP396">
        <v>5</v>
      </c>
      <c r="AQ396">
        <v>0</v>
      </c>
      <c r="AR396">
        <v>0</v>
      </c>
      <c r="AS396" t="s">
        <v>59</v>
      </c>
      <c r="AT396">
        <v>0</v>
      </c>
      <c r="AU396" t="s">
        <v>83</v>
      </c>
      <c r="AV396" t="s">
        <v>144</v>
      </c>
      <c r="AW396">
        <v>0</v>
      </c>
      <c r="AX396">
        <v>2</v>
      </c>
      <c r="AY396">
        <v>0</v>
      </c>
      <c r="AZ396">
        <v>10500</v>
      </c>
      <c r="BA396">
        <v>100</v>
      </c>
      <c r="BB396">
        <v>100</v>
      </c>
      <c r="BC396">
        <v>100</v>
      </c>
      <c r="BD396">
        <v>100</v>
      </c>
      <c r="BE396">
        <v>1</v>
      </c>
      <c r="BF396">
        <v>15000</v>
      </c>
      <c r="BG396">
        <v>1000</v>
      </c>
      <c r="BH396" s="8">
        <f>Granger_Inventory[[#This Row],[land_extract]]*Lookups!$B$3</f>
        <v>81895.548877849666</v>
      </c>
      <c r="BI396" s="8">
        <f>IF(Granger_Inventory[[#This Row],[bldg_style]]="",0,Lookups!$B$2)</f>
        <v>29703.559000000001</v>
      </c>
      <c r="BJ396" s="8">
        <f>_xlfn.IFNA(VLOOKUP(Granger_Inventory[[#This Row],[quality]],Lookups!$H$2:$J$14,3,FALSE),0)</f>
        <v>23737.786340274597</v>
      </c>
      <c r="BK396" s="8">
        <f>_xlfn.IFNA(VLOOKUP(Granger_Inventory[[#This Row],[condition]],Lookups!$H$17:$J$24,3,FALSE),0)</f>
        <v>86727</v>
      </c>
      <c r="BL396" s="8">
        <f>Granger_Inventory[[#This Row],[Age]]*Lookups!$B$16</f>
        <v>-14098.514799999999</v>
      </c>
      <c r="BM396" s="8">
        <f>Granger_Inventory[[#This Row],[living_area]]*Lookups!$B$17</f>
        <v>60276.526463999995</v>
      </c>
      <c r="BN396" s="8">
        <f>(Granger_Inventory[[#This Row],[att_gar]]+Granger_Inventory[[#This Row],[blt_gar]])*Lookups!$B$18</f>
        <v>0</v>
      </c>
      <c r="BO396" s="8">
        <f>Granger_Inventory[[#This Row],[Patio]]*Lookups!$B$19</f>
        <v>0</v>
      </c>
      <c r="BP396" s="8">
        <f>SUM(Granger_Inventory[[#This Row],[Intercept]:[Patio_Value]])*Granger_Inventory[[#This Row],[res_pct]]</f>
        <v>186346.35700427459</v>
      </c>
      <c r="BQ396" s="8">
        <f>Granger_Inventory[[#This Row],[land_value]]</f>
        <v>81895.548877849666</v>
      </c>
      <c r="BR396" s="4">
        <f>_xlfn.IFNA(VLOOKUP(Granger_Inventory[[#This Row],[quality]],Lookups!$A$25:$C$35,3,FALSE),1)</f>
        <v>0.77695375541795109</v>
      </c>
      <c r="BS396" s="4">
        <f>_xlfn.IFNA(VLOOKUP(Granger_Inventory[[#This Row],[condition]],Lookups!$A$38:$C$45,3,FALSE),1)</f>
        <v>0.85322907131620684</v>
      </c>
      <c r="BT396" s="4">
        <f>IF(Granger_Inventory[[#This Row],[decade]]="",1,_xlfn.IFNA(VLOOKUP(Granger_Inventory[[#This Row],[decade]],Lookups!$G$28:$I$42,3,FALSE),1))</f>
        <v>1.0270382440255921</v>
      </c>
      <c r="BU396" s="4">
        <f>_xlfn.IFNA(VLOOKUP(Granger_Inventory[[#This Row],[living_area_range]],Lookups!$A$48:$C$57,3,FALSE),1)</f>
        <v>0.81272404900450645</v>
      </c>
      <c r="BV396" s="4">
        <f>AVERAGE(Granger_Inventory[[#This Row],[qual_adj]:[living_range_adj]])</f>
        <v>0.86748627994106409</v>
      </c>
      <c r="BW396" s="8">
        <f>(Granger_Inventory[[#This Row],[sum_land]]-IF(Granger_Inventory[[#This Row],[no_utilities]]=1,12000,0))/IF(Granger_Inventory[[#This Row],[unbuildable]]=1,2,1)</f>
        <v>81895.548877849666</v>
      </c>
      <c r="BX396" s="8">
        <f>Granger_Inventory[[#This Row],[pre_res]]*Granger_Inventory[[#This Row],[overall_adj]]</f>
        <v>161652.90801820761</v>
      </c>
      <c r="BY396">
        <f>IF(ROUND(Granger_Inventory[[#This Row],[adj_land]]*Lookups!$I$45,-2)&lt;Granger_Inventory[[#This Row],[min_land]],Granger_Inventory[[#This Row],[min_land]],ROUND(Granger_Inventory[[#This Row],[adj_land]]*Lookups!$I$45,-2))</f>
        <v>77800</v>
      </c>
      <c r="BZ396">
        <f>ROUND(Granger_Inventory[[#This Row],[detatched_value]]*Lookups!$I$45,-2)</f>
        <v>10000</v>
      </c>
      <c r="CA396">
        <f>IF(ROUND(Granger_Inventory[[#This Row],[adj_res]]*Lookups!$I$45,-2)&lt;Granger_Inventory[[#This Row],[min_res]],Granger_Inventory[[#This Row],[min_res]],ROUND(Granger_Inventory[[#This Row],[adj_res]]*Lookups!$I$45,-2))</f>
        <v>153600</v>
      </c>
      <c r="CB396">
        <f>Granger_Inventory[[#This Row],[final_det]]+Granger_Inventory[[#This Row],[final_res]]</f>
        <v>163600</v>
      </c>
      <c r="CC396">
        <f>Granger_Inventory[[#This Row],[final_land]]+Granger_Inventory[[#This Row],[final_imp]]+Granger_Inventory[[#This Row],[crop_value]]</f>
        <v>241400</v>
      </c>
      <c r="CE396" t="str">
        <f t="shared" si="6"/>
        <v>update valuation set market_land =77800, market_bldg=163600, market_total =241400, market_mdno =402, market_date ='9/10/2023' where link_id = (select link_id from parcel where parcel_year = '2024' and parcel_id = '21102113564');</v>
      </c>
    </row>
    <row r="397" spans="1:83" x14ac:dyDescent="0.25">
      <c r="A397">
        <v>21102113567</v>
      </c>
      <c r="B397">
        <v>0.15</v>
      </c>
      <c r="C397">
        <v>6547</v>
      </c>
      <c r="D397" t="s">
        <v>137</v>
      </c>
      <c r="E397" t="s">
        <v>54</v>
      </c>
      <c r="F397" t="s">
        <v>54</v>
      </c>
      <c r="G397">
        <v>3</v>
      </c>
      <c r="H397" t="s">
        <v>55</v>
      </c>
      <c r="I397">
        <v>97100</v>
      </c>
      <c r="J397">
        <v>26300</v>
      </c>
      <c r="K397">
        <v>0.15</v>
      </c>
      <c r="L39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397">
        <v>0</v>
      </c>
      <c r="N397">
        <v>0</v>
      </c>
      <c r="O397">
        <v>0</v>
      </c>
      <c r="P397">
        <v>47108.068500000001</v>
      </c>
      <c r="Q397">
        <v>122298</v>
      </c>
      <c r="R397">
        <f>(Granger_Inventory[[#This Row],[ln_acres]]*Granger_Inventory[[#This Row],[coeff]])+Granger_Inventory[[#This Row],[const]]</f>
        <v>32928.341799276939</v>
      </c>
      <c r="S397" t="s">
        <v>62</v>
      </c>
      <c r="T397">
        <v>2</v>
      </c>
      <c r="U397" t="s">
        <v>78</v>
      </c>
      <c r="V397" t="s">
        <v>79</v>
      </c>
      <c r="W397">
        <v>0</v>
      </c>
      <c r="X397">
        <v>0</v>
      </c>
      <c r="Y397">
        <v>43</v>
      </c>
      <c r="Z397">
        <v>43</v>
      </c>
      <c r="AA397">
        <v>50</v>
      </c>
      <c r="AB397">
        <v>1500</v>
      </c>
      <c r="AC397">
        <v>1248</v>
      </c>
      <c r="AD397">
        <v>864</v>
      </c>
      <c r="AE397">
        <v>384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288</v>
      </c>
      <c r="AO397">
        <v>0</v>
      </c>
      <c r="AP397">
        <v>5</v>
      </c>
      <c r="AQ397">
        <v>0</v>
      </c>
      <c r="AR397">
        <v>0</v>
      </c>
      <c r="AS397" t="s">
        <v>59</v>
      </c>
      <c r="AT397">
        <v>1</v>
      </c>
      <c r="AU397" t="s">
        <v>76</v>
      </c>
      <c r="AV397" t="s">
        <v>65</v>
      </c>
      <c r="AW397">
        <v>0</v>
      </c>
      <c r="AX397">
        <v>3</v>
      </c>
      <c r="AY397">
        <v>0</v>
      </c>
      <c r="AZ397">
        <v>0</v>
      </c>
      <c r="BA397">
        <v>100</v>
      </c>
      <c r="BB397">
        <v>100</v>
      </c>
      <c r="BC397">
        <v>100</v>
      </c>
      <c r="BD397">
        <v>100</v>
      </c>
      <c r="BE397">
        <v>1</v>
      </c>
      <c r="BF397">
        <v>15000</v>
      </c>
      <c r="BG397">
        <v>1000</v>
      </c>
      <c r="BH397" s="8">
        <f>Granger_Inventory[[#This Row],[land_extract]]*Lookups!$B$3</f>
        <v>19616.42740275669</v>
      </c>
      <c r="BI397" s="8">
        <f>IF(Granger_Inventory[[#This Row],[bldg_style]]="",0,Lookups!$B$2)</f>
        <v>29703.559000000001</v>
      </c>
      <c r="BJ397" s="8">
        <f>_xlfn.IFNA(VLOOKUP(Granger_Inventory[[#This Row],[quality]],Lookups!$H$2:$J$14,3,FALSE),0)</f>
        <v>23737.786340274597</v>
      </c>
      <c r="BK397" s="8">
        <f>_xlfn.IFNA(VLOOKUP(Granger_Inventory[[#This Row],[condition]],Lookups!$H$17:$J$24,3,FALSE),0)</f>
        <v>86727</v>
      </c>
      <c r="BL397" s="8">
        <f>Granger_Inventory[[#This Row],[Age]]*Lookups!$B$16</f>
        <v>-8915.2372999999989</v>
      </c>
      <c r="BM397" s="8">
        <f>Granger_Inventory[[#This Row],[living_area]]*Lookups!$B$17</f>
        <v>83956.590431999997</v>
      </c>
      <c r="BN397" s="8">
        <f>(Granger_Inventory[[#This Row],[att_gar]]+Granger_Inventory[[#This Row],[blt_gar]])*Lookups!$B$18</f>
        <v>0</v>
      </c>
      <c r="BO397" s="8">
        <f>Granger_Inventory[[#This Row],[Patio]]*Lookups!$B$19</f>
        <v>0</v>
      </c>
      <c r="BP397" s="8">
        <f>SUM(Granger_Inventory[[#This Row],[Intercept]:[Patio_Value]])*Granger_Inventory[[#This Row],[res_pct]]</f>
        <v>215209.69847227458</v>
      </c>
      <c r="BQ397" s="8">
        <f>Granger_Inventory[[#This Row],[land_value]]</f>
        <v>19616.42740275669</v>
      </c>
      <c r="BR397" s="4">
        <f>_xlfn.IFNA(VLOOKUP(Granger_Inventory[[#This Row],[quality]],Lookups!$A$25:$C$35,3,FALSE),1)</f>
        <v>0.77695375541795109</v>
      </c>
      <c r="BS397" s="4">
        <f>_xlfn.IFNA(VLOOKUP(Granger_Inventory[[#This Row],[condition]],Lookups!$A$38:$C$45,3,FALSE),1)</f>
        <v>0.85322907131620684</v>
      </c>
      <c r="BT397" s="4">
        <f>IF(Granger_Inventory[[#This Row],[decade]]="",1,_xlfn.IFNA(VLOOKUP(Granger_Inventory[[#This Row],[decade]],Lookups!$G$28:$I$42,3,FALSE),1))</f>
        <v>1.2441094871772171</v>
      </c>
      <c r="BU397" s="4">
        <f>_xlfn.IFNA(VLOOKUP(Granger_Inventory[[#This Row],[living_area_range]],Lookups!$A$48:$C$57,3,FALSE),1)</f>
        <v>0.97960506760539345</v>
      </c>
      <c r="BV397" s="4">
        <f>AVERAGE(Granger_Inventory[[#This Row],[qual_adj]:[living_range_adj]])</f>
        <v>0.96347434537919219</v>
      </c>
      <c r="BW397" s="8">
        <f>(Granger_Inventory[[#This Row],[sum_land]]-IF(Granger_Inventory[[#This Row],[no_utilities]]=1,12000,0))/IF(Granger_Inventory[[#This Row],[unbuildable]]=1,2,1)</f>
        <v>19616.42740275669</v>
      </c>
      <c r="BX397" s="8">
        <f>Granger_Inventory[[#This Row],[pre_res]]*Granger_Inventory[[#This Row],[overall_adj]]</f>
        <v>207349.0233548281</v>
      </c>
      <c r="BY39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397">
        <f>ROUND(Granger_Inventory[[#This Row],[detatched_value]]*Lookups!$I$45,-2)</f>
        <v>0</v>
      </c>
      <c r="CA397">
        <f>IF(ROUND(Granger_Inventory[[#This Row],[adj_res]]*Lookups!$I$45,-2)&lt;Granger_Inventory[[#This Row],[min_res]],Granger_Inventory[[#This Row],[min_res]],ROUND(Granger_Inventory[[#This Row],[adj_res]]*Lookups!$I$45,-2))</f>
        <v>197000</v>
      </c>
      <c r="CB397">
        <f>Granger_Inventory[[#This Row],[final_det]]+Granger_Inventory[[#This Row],[final_res]]</f>
        <v>197000</v>
      </c>
      <c r="CC397">
        <f>Granger_Inventory[[#This Row],[final_land]]+Granger_Inventory[[#This Row],[final_imp]]+Granger_Inventory[[#This Row],[crop_value]]</f>
        <v>215600</v>
      </c>
      <c r="CE397" t="str">
        <f t="shared" si="6"/>
        <v>update valuation set market_land =18600, market_bldg=197000, market_total =215600, market_mdno =402, market_date ='9/10/2023' where link_id = (select link_id from parcel where parcel_year = '2024' and parcel_id = '21102113567');</v>
      </c>
    </row>
    <row r="398" spans="1:83" x14ac:dyDescent="0.25">
      <c r="A398">
        <v>21102113568</v>
      </c>
      <c r="B398">
        <v>0.17</v>
      </c>
      <c r="C398">
        <v>7499</v>
      </c>
      <c r="D398" t="s">
        <v>137</v>
      </c>
      <c r="E398" t="s">
        <v>54</v>
      </c>
      <c r="F398" t="s">
        <v>54</v>
      </c>
      <c r="G398">
        <v>3</v>
      </c>
      <c r="H398" t="s">
        <v>55</v>
      </c>
      <c r="I398">
        <v>95200</v>
      </c>
      <c r="J398">
        <v>27100</v>
      </c>
      <c r="K398">
        <v>0.17</v>
      </c>
      <c r="L398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398">
        <v>0</v>
      </c>
      <c r="N398">
        <v>0</v>
      </c>
      <c r="O398">
        <v>0</v>
      </c>
      <c r="P398">
        <v>47108.068500000001</v>
      </c>
      <c r="Q398">
        <v>122298</v>
      </c>
      <c r="R398">
        <f>(Granger_Inventory[[#This Row],[ln_acres]]*Granger_Inventory[[#This Row],[coeff]])+Granger_Inventory[[#This Row],[const]]</f>
        <v>38824.535711229546</v>
      </c>
      <c r="S398" t="s">
        <v>69</v>
      </c>
      <c r="T398">
        <v>1</v>
      </c>
      <c r="U398" t="s">
        <v>71</v>
      </c>
      <c r="V398" t="s">
        <v>77</v>
      </c>
      <c r="W398">
        <v>0</v>
      </c>
      <c r="X398">
        <v>0</v>
      </c>
      <c r="Y398">
        <v>65</v>
      </c>
      <c r="Z398">
        <v>113</v>
      </c>
      <c r="AA398">
        <v>120</v>
      </c>
      <c r="AB398">
        <v>1000</v>
      </c>
      <c r="AC398">
        <v>856</v>
      </c>
      <c r="AD398">
        <v>856</v>
      </c>
      <c r="AE398">
        <v>0</v>
      </c>
      <c r="AF398">
        <v>0</v>
      </c>
      <c r="AG398">
        <v>0</v>
      </c>
      <c r="AH398">
        <v>192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56</v>
      </c>
      <c r="AO398">
        <v>45</v>
      </c>
      <c r="AP398">
        <v>5</v>
      </c>
      <c r="AQ398">
        <v>0</v>
      </c>
      <c r="AR398">
        <v>0</v>
      </c>
      <c r="AS398" t="s">
        <v>59</v>
      </c>
      <c r="AT398">
        <v>1</v>
      </c>
      <c r="AU398" t="s">
        <v>68</v>
      </c>
      <c r="AV398" t="s">
        <v>65</v>
      </c>
      <c r="AW398">
        <v>0</v>
      </c>
      <c r="AX398">
        <v>3</v>
      </c>
      <c r="AY398">
        <v>0</v>
      </c>
      <c r="AZ398">
        <v>7600</v>
      </c>
      <c r="BA398">
        <v>100</v>
      </c>
      <c r="BB398">
        <v>100</v>
      </c>
      <c r="BC398">
        <v>100</v>
      </c>
      <c r="BD398">
        <v>100</v>
      </c>
      <c r="BE398">
        <v>1</v>
      </c>
      <c r="BF398">
        <v>15000</v>
      </c>
      <c r="BG398">
        <v>1000</v>
      </c>
      <c r="BH398" s="8">
        <f>Granger_Inventory[[#This Row],[land_extract]]*Lookups!$B$3</f>
        <v>23128.971718879347</v>
      </c>
      <c r="BI398" s="8">
        <f>IF(Granger_Inventory[[#This Row],[bldg_style]]="",0,Lookups!$B$2)</f>
        <v>29703.559000000001</v>
      </c>
      <c r="BJ398" s="8">
        <f>_xlfn.IFNA(VLOOKUP(Granger_Inventory[[#This Row],[quality]],Lookups!$H$2:$J$14,3,FALSE),0)</f>
        <v>34195</v>
      </c>
      <c r="BK398" s="8">
        <f>_xlfn.IFNA(VLOOKUP(Granger_Inventory[[#This Row],[condition]],Lookups!$H$17:$J$24,3,FALSE),0)</f>
        <v>33736</v>
      </c>
      <c r="BL398" s="8">
        <f>Granger_Inventory[[#This Row],[Age]]*Lookups!$B$16</f>
        <v>-23428.4143</v>
      </c>
      <c r="BM398" s="8">
        <f>Granger_Inventory[[#This Row],[living_area]]*Lookups!$B$17</f>
        <v>57585.610103999999</v>
      </c>
      <c r="BN398" s="8">
        <f>(Granger_Inventory[[#This Row],[att_gar]]+Granger_Inventory[[#This Row],[blt_gar]])*Lookups!$B$18</f>
        <v>0</v>
      </c>
      <c r="BO398" s="8">
        <f>Granger_Inventory[[#This Row],[Patio]]*Lookups!$B$19</f>
        <v>0</v>
      </c>
      <c r="BP398" s="8">
        <f>SUM(Granger_Inventory[[#This Row],[Intercept]:[Patio_Value]])*Granger_Inventory[[#This Row],[res_pct]]</f>
        <v>131791.754804</v>
      </c>
      <c r="BQ398" s="8">
        <f>Granger_Inventory[[#This Row],[land_value]]</f>
        <v>23128.971718879347</v>
      </c>
      <c r="BR398" s="4">
        <f>_xlfn.IFNA(VLOOKUP(Granger_Inventory[[#This Row],[quality]],Lookups!$A$25:$C$35,3,FALSE),1)</f>
        <v>0.98258795897788032</v>
      </c>
      <c r="BS398" s="4">
        <f>_xlfn.IFNA(VLOOKUP(Granger_Inventory[[#This Row],[condition]],Lookups!$A$38:$C$45,3,FALSE),1)</f>
        <v>0.92294678898076177</v>
      </c>
      <c r="BT398" s="4">
        <f>IF(Granger_Inventory[[#This Row],[decade]]="",1,_xlfn.IFNA(VLOOKUP(Granger_Inventory[[#This Row],[decade]],Lookups!$G$28:$I$42,3,FALSE),1))</f>
        <v>0.879441629375324</v>
      </c>
      <c r="BU398" s="4">
        <f>_xlfn.IFNA(VLOOKUP(Granger_Inventory[[#This Row],[living_area_range]],Lookups!$A$48:$C$57,3,FALSE),1)</f>
        <v>0.81272404900450645</v>
      </c>
      <c r="BV398" s="4">
        <f>AVERAGE(Granger_Inventory[[#This Row],[qual_adj]:[living_range_adj]])</f>
        <v>0.89942510658461816</v>
      </c>
      <c r="BW398" s="8">
        <f>(Granger_Inventory[[#This Row],[sum_land]]-IF(Granger_Inventory[[#This Row],[no_utilities]]=1,12000,0))/IF(Granger_Inventory[[#This Row],[unbuildable]]=1,2,1)</f>
        <v>23128.971718879347</v>
      </c>
      <c r="BX398" s="8">
        <f>Granger_Inventory[[#This Row],[pre_res]]*Granger_Inventory[[#This Row],[overall_adj]]</f>
        <v>118536.81311156155</v>
      </c>
      <c r="BY398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398">
        <f>ROUND(Granger_Inventory[[#This Row],[detatched_value]]*Lookups!$I$45,-2)</f>
        <v>7200</v>
      </c>
      <c r="CA398">
        <f>IF(ROUND(Granger_Inventory[[#This Row],[adj_res]]*Lookups!$I$45,-2)&lt;Granger_Inventory[[#This Row],[min_res]],Granger_Inventory[[#This Row],[min_res]],ROUND(Granger_Inventory[[#This Row],[adj_res]]*Lookups!$I$45,-2))</f>
        <v>112600</v>
      </c>
      <c r="CB398">
        <f>Granger_Inventory[[#This Row],[final_det]]+Granger_Inventory[[#This Row],[final_res]]</f>
        <v>119800</v>
      </c>
      <c r="CC398">
        <f>Granger_Inventory[[#This Row],[final_land]]+Granger_Inventory[[#This Row],[final_imp]]+Granger_Inventory[[#This Row],[crop_value]]</f>
        <v>141800</v>
      </c>
      <c r="CE398" t="str">
        <f t="shared" si="6"/>
        <v>update valuation set market_land =22000, market_bldg=119800, market_total =141800, market_mdno =402, market_date ='9/10/2023' where link_id = (select link_id from parcel where parcel_year = '2024' and parcel_id = '21102113568');</v>
      </c>
    </row>
    <row r="399" spans="1:83" x14ac:dyDescent="0.25">
      <c r="A399">
        <v>21102113575</v>
      </c>
      <c r="B399">
        <v>0.43</v>
      </c>
      <c r="C399">
        <v>18738</v>
      </c>
      <c r="D399" t="s">
        <v>137</v>
      </c>
      <c r="E399" t="s">
        <v>54</v>
      </c>
      <c r="F399" t="s">
        <v>54</v>
      </c>
      <c r="G399">
        <v>3</v>
      </c>
      <c r="H399" t="s">
        <v>55</v>
      </c>
      <c r="I399">
        <v>187700</v>
      </c>
      <c r="J399">
        <v>30500</v>
      </c>
      <c r="K399">
        <v>0.43</v>
      </c>
      <c r="L399">
        <f>IF(Granger_Inventory[[#This Row],[parcel_acres]]-Granger_Inventory[[#This Row],[non_valued_acres]] =0,0,LN(Granger_Inventory[[#This Row],[parcel_acres]]-Granger_Inventory[[#This Row],[non_valued_acres]]))</f>
        <v>-0.84397007029452897</v>
      </c>
      <c r="M399">
        <v>0</v>
      </c>
      <c r="N399">
        <v>0</v>
      </c>
      <c r="O399">
        <v>0</v>
      </c>
      <c r="P399">
        <v>47108.068500000001</v>
      </c>
      <c r="Q399">
        <v>122298</v>
      </c>
      <c r="R399">
        <f>(Granger_Inventory[[#This Row],[ln_acres]]*Granger_Inventory[[#This Row],[coeff]])+Granger_Inventory[[#This Row],[const]]</f>
        <v>82540.20011661551</v>
      </c>
      <c r="S399" t="s">
        <v>69</v>
      </c>
      <c r="T399">
        <v>1</v>
      </c>
      <c r="U399" t="s">
        <v>71</v>
      </c>
      <c r="V399" t="s">
        <v>72</v>
      </c>
      <c r="W399">
        <v>0</v>
      </c>
      <c r="X399">
        <v>0</v>
      </c>
      <c r="Y399">
        <v>50</v>
      </c>
      <c r="Z399">
        <v>73</v>
      </c>
      <c r="AA399">
        <v>80</v>
      </c>
      <c r="AB399">
        <v>2000</v>
      </c>
      <c r="AC399">
        <v>1900</v>
      </c>
      <c r="AD399">
        <v>1348</v>
      </c>
      <c r="AE399">
        <v>0</v>
      </c>
      <c r="AF399">
        <v>0</v>
      </c>
      <c r="AG399">
        <v>552</v>
      </c>
      <c r="AH399">
        <v>288</v>
      </c>
      <c r="AI399">
        <v>0</v>
      </c>
      <c r="AJ399">
        <v>0</v>
      </c>
      <c r="AK399">
        <v>544</v>
      </c>
      <c r="AL399">
        <v>140</v>
      </c>
      <c r="AM399">
        <v>0</v>
      </c>
      <c r="AN399">
        <v>35</v>
      </c>
      <c r="AO399">
        <v>140</v>
      </c>
      <c r="AP399">
        <v>5</v>
      </c>
      <c r="AQ399">
        <v>0</v>
      </c>
      <c r="AR399">
        <v>1</v>
      </c>
      <c r="AS399" t="s">
        <v>81</v>
      </c>
      <c r="AT399">
        <v>1</v>
      </c>
      <c r="AU399" t="s">
        <v>60</v>
      </c>
      <c r="AV399" t="s">
        <v>61</v>
      </c>
      <c r="AW399">
        <v>1</v>
      </c>
      <c r="AX399">
        <v>1</v>
      </c>
      <c r="AY399">
        <v>0</v>
      </c>
      <c r="AZ399">
        <v>26200</v>
      </c>
      <c r="BA399">
        <v>100</v>
      </c>
      <c r="BB399">
        <v>100</v>
      </c>
      <c r="BC399">
        <v>100</v>
      </c>
      <c r="BD399">
        <v>100</v>
      </c>
      <c r="BE399">
        <v>1</v>
      </c>
      <c r="BF399">
        <v>15000</v>
      </c>
      <c r="BG399">
        <v>1000</v>
      </c>
      <c r="BH399" s="8">
        <f>Granger_Inventory[[#This Row],[land_extract]]*Lookups!$B$3</f>
        <v>49171.739447631451</v>
      </c>
      <c r="BI399" s="8">
        <f>IF(Granger_Inventory[[#This Row],[bldg_style]]="",0,Lookups!$B$2)</f>
        <v>29703.559000000001</v>
      </c>
      <c r="BJ399" s="8">
        <f>_xlfn.IFNA(VLOOKUP(Granger_Inventory[[#This Row],[quality]],Lookups!$H$2:$J$14,3,FALSE),0)</f>
        <v>34195</v>
      </c>
      <c r="BK399" s="8">
        <f>_xlfn.IFNA(VLOOKUP(Granger_Inventory[[#This Row],[condition]],Lookups!$H$17:$J$24,3,FALSE),0)</f>
        <v>94106</v>
      </c>
      <c r="BL399" s="8">
        <f>Granger_Inventory[[#This Row],[Age]]*Lookups!$B$16</f>
        <v>-15135.1703</v>
      </c>
      <c r="BM399" s="8">
        <f>Granger_Inventory[[#This Row],[living_area]]*Lookups!$B$17</f>
        <v>127818.52709999999</v>
      </c>
      <c r="BN399" s="8">
        <f>(Granger_Inventory[[#This Row],[att_gar]]+Granger_Inventory[[#This Row],[blt_gar]])*Lookups!$B$18</f>
        <v>0</v>
      </c>
      <c r="BO399" s="8">
        <f>Granger_Inventory[[#This Row],[Patio]]*Lookups!$B$19</f>
        <v>0</v>
      </c>
      <c r="BP399" s="8">
        <f>SUM(Granger_Inventory[[#This Row],[Intercept]:[Patio_Value]])*Granger_Inventory[[#This Row],[res_pct]]</f>
        <v>270687.91580000002</v>
      </c>
      <c r="BQ399" s="8">
        <f>Granger_Inventory[[#This Row],[land_value]]</f>
        <v>49171.739447631451</v>
      </c>
      <c r="BR399" s="4">
        <f>_xlfn.IFNA(VLOOKUP(Granger_Inventory[[#This Row],[quality]],Lookups!$A$25:$C$35,3,FALSE),1)</f>
        <v>0.98258795897788032</v>
      </c>
      <c r="BS399" s="4">
        <f>_xlfn.IFNA(VLOOKUP(Granger_Inventory[[#This Row],[condition]],Lookups!$A$38:$C$45,3,FALSE),1)</f>
        <v>0.98658583151544277</v>
      </c>
      <c r="BT399" s="4">
        <f>IF(Granger_Inventory[[#This Row],[decade]]="",1,_xlfn.IFNA(VLOOKUP(Granger_Inventory[[#This Row],[decade]],Lookups!$G$28:$I$42,3,FALSE),1))</f>
        <v>0.76006056002554967</v>
      </c>
      <c r="BU399" s="4">
        <f>_xlfn.IFNA(VLOOKUP(Granger_Inventory[[#This Row],[living_area_range]],Lookups!$A$48:$C$57,3,FALSE),1)</f>
        <v>0.97860968051050168</v>
      </c>
      <c r="BV399" s="4">
        <f>AVERAGE(Granger_Inventory[[#This Row],[qual_adj]:[living_range_adj]])</f>
        <v>0.92696100775734358</v>
      </c>
      <c r="BW399" s="8">
        <f>(Granger_Inventory[[#This Row],[sum_land]]-IF(Granger_Inventory[[#This Row],[no_utilities]]=1,12000,0))/IF(Granger_Inventory[[#This Row],[unbuildable]]=1,2,1)</f>
        <v>49171.739447631451</v>
      </c>
      <c r="BX399" s="8">
        <f>Granger_Inventory[[#This Row],[pre_res]]*Granger_Inventory[[#This Row],[overall_adj]]</f>
        <v>250917.14321770298</v>
      </c>
      <c r="BY399">
        <f>IF(ROUND(Granger_Inventory[[#This Row],[adj_land]]*Lookups!$I$45,-2)&lt;Granger_Inventory[[#This Row],[min_land]],Granger_Inventory[[#This Row],[min_land]],ROUND(Granger_Inventory[[#This Row],[adj_land]]*Lookups!$I$45,-2))</f>
        <v>46700</v>
      </c>
      <c r="BZ399">
        <f>ROUND(Granger_Inventory[[#This Row],[detatched_value]]*Lookups!$I$45,-2)</f>
        <v>24900</v>
      </c>
      <c r="CA399">
        <f>IF(ROUND(Granger_Inventory[[#This Row],[adj_res]]*Lookups!$I$45,-2)&lt;Granger_Inventory[[#This Row],[min_res]],Granger_Inventory[[#This Row],[min_res]],ROUND(Granger_Inventory[[#This Row],[adj_res]]*Lookups!$I$45,-2))</f>
        <v>238400</v>
      </c>
      <c r="CB399">
        <f>Granger_Inventory[[#This Row],[final_det]]+Granger_Inventory[[#This Row],[final_res]]</f>
        <v>263300</v>
      </c>
      <c r="CC399">
        <f>Granger_Inventory[[#This Row],[final_land]]+Granger_Inventory[[#This Row],[final_imp]]+Granger_Inventory[[#This Row],[crop_value]]</f>
        <v>310000</v>
      </c>
      <c r="CE399" t="str">
        <f t="shared" si="6"/>
        <v>update valuation set market_land =46700, market_bldg=263300, market_total =310000, market_mdno =402, market_date ='9/10/2023' where link_id = (select link_id from parcel where parcel_year = '2024' and parcel_id = '21102113575');</v>
      </c>
    </row>
    <row r="400" spans="1:83" x14ac:dyDescent="0.25">
      <c r="A400">
        <v>21102113578</v>
      </c>
      <c r="B400">
        <v>0.14000000000000001</v>
      </c>
      <c r="C400" t="s">
        <v>137</v>
      </c>
      <c r="D400" t="s">
        <v>137</v>
      </c>
      <c r="E400" t="s">
        <v>54</v>
      </c>
      <c r="F400" t="s">
        <v>54</v>
      </c>
      <c r="G400">
        <v>3</v>
      </c>
      <c r="H400" t="s">
        <v>55</v>
      </c>
      <c r="I400" t="s">
        <v>137</v>
      </c>
      <c r="J400">
        <v>25900</v>
      </c>
      <c r="K400">
        <v>0.14000000000000001</v>
      </c>
      <c r="L400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400">
        <v>0</v>
      </c>
      <c r="N400">
        <v>0</v>
      </c>
      <c r="O400">
        <v>0</v>
      </c>
      <c r="P400">
        <v>47108.068500000001</v>
      </c>
      <c r="Q400">
        <v>122298</v>
      </c>
      <c r="R400">
        <f>(Granger_Inventory[[#This Row],[ln_acres]]*Granger_Inventory[[#This Row],[coeff]])+Granger_Inventory[[#This Row],[const]]</f>
        <v>29678.220883257934</v>
      </c>
      <c r="S400" t="s">
        <v>69</v>
      </c>
      <c r="T400">
        <v>1</v>
      </c>
      <c r="U400" t="s">
        <v>64</v>
      </c>
      <c r="V400" t="s">
        <v>58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1500</v>
      </c>
      <c r="AC400">
        <v>1152</v>
      </c>
      <c r="AD400">
        <v>1152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120</v>
      </c>
      <c r="AO400">
        <v>0</v>
      </c>
      <c r="AP400">
        <v>8</v>
      </c>
      <c r="AQ400">
        <v>0</v>
      </c>
      <c r="AR400">
        <v>0</v>
      </c>
      <c r="AS400" t="s">
        <v>59</v>
      </c>
      <c r="AT400">
        <v>1</v>
      </c>
      <c r="AU400" t="s">
        <v>63</v>
      </c>
      <c r="AV400" t="s">
        <v>65</v>
      </c>
      <c r="AW400">
        <v>1</v>
      </c>
      <c r="AX400">
        <v>3</v>
      </c>
      <c r="AY400">
        <v>0</v>
      </c>
      <c r="AZ400">
        <v>0</v>
      </c>
      <c r="BA400">
        <v>100</v>
      </c>
      <c r="BB400">
        <v>100</v>
      </c>
      <c r="BC400">
        <v>100</v>
      </c>
      <c r="BD400">
        <v>20</v>
      </c>
      <c r="BE400">
        <v>0.2</v>
      </c>
      <c r="BF400">
        <v>15000</v>
      </c>
      <c r="BG400">
        <v>1000</v>
      </c>
      <c r="BH400" s="8">
        <f>Granger_Inventory[[#This Row],[land_extract]]*Lookups!$B$3</f>
        <v>17680.230269359956</v>
      </c>
      <c r="BI400" s="8">
        <f>IF(Granger_Inventory[[#This Row],[bldg_style]]="",0,Lookups!$B$2)</f>
        <v>29703.559000000001</v>
      </c>
      <c r="BJ400" s="8">
        <f>_xlfn.IFNA(VLOOKUP(Granger_Inventory[[#This Row],[quality]],Lookups!$H$2:$J$14,3,FALSE),0)</f>
        <v>36568</v>
      </c>
      <c r="BK400" s="8">
        <f>_xlfn.IFNA(VLOOKUP(Granger_Inventory[[#This Row],[condition]],Lookups!$H$17:$J$24,3,FALSE),0)</f>
        <v>101774</v>
      </c>
      <c r="BL400" s="8">
        <f>Granger_Inventory[[#This Row],[Age]]*Lookups!$B$16</f>
        <v>0</v>
      </c>
      <c r="BM400" s="8">
        <f>Granger_Inventory[[#This Row],[living_area]]*Lookups!$B$17</f>
        <v>77498.391168000002</v>
      </c>
      <c r="BN400" s="8">
        <f>(Granger_Inventory[[#This Row],[att_gar]]+Granger_Inventory[[#This Row],[blt_gar]])*Lookups!$B$18</f>
        <v>0</v>
      </c>
      <c r="BO400" s="8">
        <f>Granger_Inventory[[#This Row],[Patio]]*Lookups!$B$19</f>
        <v>0</v>
      </c>
      <c r="BP400" s="8">
        <f>SUM(Granger_Inventory[[#This Row],[Intercept]:[Patio_Value]])*Granger_Inventory[[#This Row],[res_pct]]</f>
        <v>49108.790033600002</v>
      </c>
      <c r="BQ400" s="8">
        <f>Granger_Inventory[[#This Row],[land_value]]</f>
        <v>17680.230269359956</v>
      </c>
      <c r="BR400" s="4">
        <f>_xlfn.IFNA(VLOOKUP(Granger_Inventory[[#This Row],[quality]],Lookups!$A$25:$C$35,3,FALSE),1)</f>
        <v>0.99049976351917957</v>
      </c>
      <c r="BS400" s="4">
        <f>_xlfn.IFNA(VLOOKUP(Granger_Inventory[[#This Row],[condition]],Lookups!$A$38:$C$45,3,FALSE),1)</f>
        <v>0.99135053432734199</v>
      </c>
      <c r="BT400" s="4">
        <f>IF(Granger_Inventory[[#This Row],[decade]]="",1,_xlfn.IFNA(VLOOKUP(Granger_Inventory[[#This Row],[decade]],Lookups!$G$28:$I$42,3,FALSE),1))</f>
        <v>0.99951026660104636</v>
      </c>
      <c r="BU400" s="4">
        <f>_xlfn.IFNA(VLOOKUP(Granger_Inventory[[#This Row],[living_area_range]],Lookups!$A$48:$C$57,3,FALSE),1)</f>
        <v>0.97960506760539345</v>
      </c>
      <c r="BV400" s="4">
        <f>AVERAGE(Granger_Inventory[[#This Row],[qual_adj]:[living_range_adj]])</f>
        <v>0.99024140801324034</v>
      </c>
      <c r="BW400" s="8">
        <f>(Granger_Inventory[[#This Row],[sum_land]]-IF(Granger_Inventory[[#This Row],[no_utilities]]=1,12000,0))/IF(Granger_Inventory[[#This Row],[unbuildable]]=1,2,1)</f>
        <v>17680.230269359956</v>
      </c>
      <c r="BX400" s="8">
        <f>Granger_Inventory[[#This Row],[pre_res]]*Granger_Inventory[[#This Row],[overall_adj]]</f>
        <v>48629.557388698653</v>
      </c>
      <c r="BY400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400">
        <f>ROUND(Granger_Inventory[[#This Row],[detatched_value]]*Lookups!$I$45,-2)</f>
        <v>0</v>
      </c>
      <c r="CA400">
        <f>IF(ROUND(Granger_Inventory[[#This Row],[adj_res]]*Lookups!$I$45,-2)&lt;Granger_Inventory[[#This Row],[min_res]],Granger_Inventory[[#This Row],[min_res]],ROUND(Granger_Inventory[[#This Row],[adj_res]]*Lookups!$I$45,-2))</f>
        <v>46200</v>
      </c>
      <c r="CB400">
        <f>Granger_Inventory[[#This Row],[final_det]]+Granger_Inventory[[#This Row],[final_res]]</f>
        <v>46200</v>
      </c>
      <c r="CC400">
        <f>Granger_Inventory[[#This Row],[final_land]]+Granger_Inventory[[#This Row],[final_imp]]+Granger_Inventory[[#This Row],[crop_value]]</f>
        <v>63000</v>
      </c>
      <c r="CE400" t="str">
        <f t="shared" si="6"/>
        <v>update valuation set market_land =16800, market_bldg=46200, market_total =63000, market_mdno =402, market_date ='9/10/2023' where link_id = (select link_id from parcel where parcel_year = '2024' and parcel_id = '21102113578');</v>
      </c>
    </row>
    <row r="401" spans="1:83" x14ac:dyDescent="0.25">
      <c r="A401">
        <v>21102113579</v>
      </c>
      <c r="B401">
        <v>0.14000000000000001</v>
      </c>
      <c r="C401" t="s">
        <v>137</v>
      </c>
      <c r="D401" t="s">
        <v>137</v>
      </c>
      <c r="E401" t="s">
        <v>54</v>
      </c>
      <c r="F401" t="s">
        <v>54</v>
      </c>
      <c r="G401">
        <v>3</v>
      </c>
      <c r="H401" t="s">
        <v>55</v>
      </c>
      <c r="I401" t="s">
        <v>137</v>
      </c>
      <c r="J401">
        <v>25900</v>
      </c>
      <c r="K401">
        <v>0.14000000000000001</v>
      </c>
      <c r="L40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401">
        <v>0</v>
      </c>
      <c r="N401">
        <v>0</v>
      </c>
      <c r="O401">
        <v>0</v>
      </c>
      <c r="P401">
        <v>47108.068500000001</v>
      </c>
      <c r="Q401">
        <v>122298</v>
      </c>
      <c r="R401">
        <f>(Granger_Inventory[[#This Row],[ln_acres]]*Granger_Inventory[[#This Row],[coeff]])+Granger_Inventory[[#This Row],[const]]</f>
        <v>29678.220883257934</v>
      </c>
      <c r="S401" t="s">
        <v>69</v>
      </c>
      <c r="T401">
        <v>1</v>
      </c>
      <c r="U401" t="s">
        <v>64</v>
      </c>
      <c r="V401" t="s">
        <v>58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1500</v>
      </c>
      <c r="AC401">
        <v>1152</v>
      </c>
      <c r="AD401">
        <v>1152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120</v>
      </c>
      <c r="AO401">
        <v>0</v>
      </c>
      <c r="AP401">
        <v>8</v>
      </c>
      <c r="AQ401">
        <v>0</v>
      </c>
      <c r="AR401">
        <v>0</v>
      </c>
      <c r="AS401" t="s">
        <v>59</v>
      </c>
      <c r="AT401">
        <v>1</v>
      </c>
      <c r="AU401" t="s">
        <v>63</v>
      </c>
      <c r="AV401" t="s">
        <v>65</v>
      </c>
      <c r="AW401">
        <v>1</v>
      </c>
      <c r="AX401">
        <v>3</v>
      </c>
      <c r="AY401">
        <v>0</v>
      </c>
      <c r="AZ401">
        <v>0</v>
      </c>
      <c r="BA401">
        <v>100</v>
      </c>
      <c r="BB401">
        <v>100</v>
      </c>
      <c r="BC401">
        <v>100</v>
      </c>
      <c r="BD401">
        <v>20</v>
      </c>
      <c r="BE401">
        <v>0.2</v>
      </c>
      <c r="BF401">
        <v>15000</v>
      </c>
      <c r="BG401">
        <v>1000</v>
      </c>
      <c r="BH401" s="8">
        <f>Granger_Inventory[[#This Row],[land_extract]]*Lookups!$B$3</f>
        <v>17680.230269359956</v>
      </c>
      <c r="BI401" s="8">
        <f>IF(Granger_Inventory[[#This Row],[bldg_style]]="",0,Lookups!$B$2)</f>
        <v>29703.559000000001</v>
      </c>
      <c r="BJ401" s="8">
        <f>_xlfn.IFNA(VLOOKUP(Granger_Inventory[[#This Row],[quality]],Lookups!$H$2:$J$14,3,FALSE),0)</f>
        <v>36568</v>
      </c>
      <c r="BK401" s="8">
        <f>_xlfn.IFNA(VLOOKUP(Granger_Inventory[[#This Row],[condition]],Lookups!$H$17:$J$24,3,FALSE),0)</f>
        <v>101774</v>
      </c>
      <c r="BL401" s="8">
        <f>Granger_Inventory[[#This Row],[Age]]*Lookups!$B$16</f>
        <v>0</v>
      </c>
      <c r="BM401" s="8">
        <f>Granger_Inventory[[#This Row],[living_area]]*Lookups!$B$17</f>
        <v>77498.391168000002</v>
      </c>
      <c r="BN401" s="8">
        <f>(Granger_Inventory[[#This Row],[att_gar]]+Granger_Inventory[[#This Row],[blt_gar]])*Lookups!$B$18</f>
        <v>0</v>
      </c>
      <c r="BO401" s="8">
        <f>Granger_Inventory[[#This Row],[Patio]]*Lookups!$B$19</f>
        <v>0</v>
      </c>
      <c r="BP401" s="8">
        <f>SUM(Granger_Inventory[[#This Row],[Intercept]:[Patio_Value]])*Granger_Inventory[[#This Row],[res_pct]]</f>
        <v>49108.790033600002</v>
      </c>
      <c r="BQ401" s="8">
        <f>Granger_Inventory[[#This Row],[land_value]]</f>
        <v>17680.230269359956</v>
      </c>
      <c r="BR401" s="4">
        <f>_xlfn.IFNA(VLOOKUP(Granger_Inventory[[#This Row],[quality]],Lookups!$A$25:$C$35,3,FALSE),1)</f>
        <v>0.99049976351917957</v>
      </c>
      <c r="BS401" s="4">
        <f>_xlfn.IFNA(VLOOKUP(Granger_Inventory[[#This Row],[condition]],Lookups!$A$38:$C$45,3,FALSE),1)</f>
        <v>0.99135053432734199</v>
      </c>
      <c r="BT401" s="4">
        <f>IF(Granger_Inventory[[#This Row],[decade]]="",1,_xlfn.IFNA(VLOOKUP(Granger_Inventory[[#This Row],[decade]],Lookups!$G$28:$I$42,3,FALSE),1))</f>
        <v>0.99951026660104636</v>
      </c>
      <c r="BU401" s="4">
        <f>_xlfn.IFNA(VLOOKUP(Granger_Inventory[[#This Row],[living_area_range]],Lookups!$A$48:$C$57,3,FALSE),1)</f>
        <v>0.97960506760539345</v>
      </c>
      <c r="BV401" s="4">
        <f>AVERAGE(Granger_Inventory[[#This Row],[qual_adj]:[living_range_adj]])</f>
        <v>0.99024140801324034</v>
      </c>
      <c r="BW401" s="8">
        <f>(Granger_Inventory[[#This Row],[sum_land]]-IF(Granger_Inventory[[#This Row],[no_utilities]]=1,12000,0))/IF(Granger_Inventory[[#This Row],[unbuildable]]=1,2,1)</f>
        <v>17680.230269359956</v>
      </c>
      <c r="BX401" s="8">
        <f>Granger_Inventory[[#This Row],[pre_res]]*Granger_Inventory[[#This Row],[overall_adj]]</f>
        <v>48629.557388698653</v>
      </c>
      <c r="BY40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401">
        <f>ROUND(Granger_Inventory[[#This Row],[detatched_value]]*Lookups!$I$45,-2)</f>
        <v>0</v>
      </c>
      <c r="CA401">
        <f>IF(ROUND(Granger_Inventory[[#This Row],[adj_res]]*Lookups!$I$45,-2)&lt;Granger_Inventory[[#This Row],[min_res]],Granger_Inventory[[#This Row],[min_res]],ROUND(Granger_Inventory[[#This Row],[adj_res]]*Lookups!$I$45,-2))</f>
        <v>46200</v>
      </c>
      <c r="CB401">
        <f>Granger_Inventory[[#This Row],[final_det]]+Granger_Inventory[[#This Row],[final_res]]</f>
        <v>46200</v>
      </c>
      <c r="CC401">
        <f>Granger_Inventory[[#This Row],[final_land]]+Granger_Inventory[[#This Row],[final_imp]]+Granger_Inventory[[#This Row],[crop_value]]</f>
        <v>63000</v>
      </c>
      <c r="CE401" t="str">
        <f t="shared" si="6"/>
        <v>update valuation set market_land =16800, market_bldg=46200, market_total =63000, market_mdno =402, market_date ='9/10/2023' where link_id = (select link_id from parcel where parcel_year = '2024' and parcel_id = '21102113579');</v>
      </c>
    </row>
    <row r="402" spans="1:83" x14ac:dyDescent="0.25">
      <c r="A402">
        <v>21102114401</v>
      </c>
      <c r="B402">
        <v>0.28000000000000003</v>
      </c>
      <c r="C402">
        <v>12234</v>
      </c>
      <c r="D402" t="s">
        <v>137</v>
      </c>
      <c r="E402" t="s">
        <v>54</v>
      </c>
      <c r="F402" t="s">
        <v>54</v>
      </c>
      <c r="G402">
        <v>3</v>
      </c>
      <c r="H402" t="s">
        <v>55</v>
      </c>
      <c r="I402">
        <v>10300</v>
      </c>
      <c r="J402">
        <v>28100</v>
      </c>
      <c r="K402">
        <v>0.28000000000000003</v>
      </c>
      <c r="L402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402">
        <v>0</v>
      </c>
      <c r="N402">
        <v>0</v>
      </c>
      <c r="O402">
        <v>0</v>
      </c>
      <c r="P402">
        <v>47108.068500000001</v>
      </c>
      <c r="Q402">
        <v>122298</v>
      </c>
      <c r="R402">
        <f>(Granger_Inventory[[#This Row],[ln_acres]]*Granger_Inventory[[#This Row],[coeff]])+Granger_Inventory[[#This Row],[const]]</f>
        <v>62331.045745657706</v>
      </c>
      <c r="S402" t="s">
        <v>62</v>
      </c>
      <c r="T402">
        <v>1</v>
      </c>
      <c r="U402" t="s">
        <v>107</v>
      </c>
      <c r="V402" t="s">
        <v>82</v>
      </c>
      <c r="W402">
        <v>0</v>
      </c>
      <c r="X402">
        <v>0</v>
      </c>
      <c r="Y402">
        <v>57</v>
      </c>
      <c r="Z402">
        <v>103</v>
      </c>
      <c r="AA402">
        <v>110</v>
      </c>
      <c r="AB402">
        <v>1500</v>
      </c>
      <c r="AC402">
        <v>1093</v>
      </c>
      <c r="AD402">
        <v>1093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5</v>
      </c>
      <c r="AQ402">
        <v>0</v>
      </c>
      <c r="AR402">
        <v>0</v>
      </c>
      <c r="AS402" t="s">
        <v>59</v>
      </c>
      <c r="AT402">
        <v>1</v>
      </c>
      <c r="AU402" t="s">
        <v>68</v>
      </c>
      <c r="AV402" t="s">
        <v>65</v>
      </c>
      <c r="AW402">
        <v>0</v>
      </c>
      <c r="AX402">
        <v>3</v>
      </c>
      <c r="AY402">
        <v>0</v>
      </c>
      <c r="AZ402">
        <v>0</v>
      </c>
      <c r="BA402">
        <v>100</v>
      </c>
      <c r="BB402">
        <v>100</v>
      </c>
      <c r="BC402">
        <v>100</v>
      </c>
      <c r="BD402">
        <v>100</v>
      </c>
      <c r="BE402">
        <v>1</v>
      </c>
      <c r="BF402">
        <v>15000</v>
      </c>
      <c r="BG402">
        <v>1000</v>
      </c>
      <c r="BH402" s="8">
        <f>Granger_Inventory[[#This Row],[land_extract]]*Lookups!$B$3</f>
        <v>37132.523746897263</v>
      </c>
      <c r="BI402" s="8">
        <f>IF(Granger_Inventory[[#This Row],[bldg_style]]="",0,Lookups!$B$2)</f>
        <v>29703.559000000001</v>
      </c>
      <c r="BJ402" s="8">
        <f>_xlfn.IFNA(VLOOKUP(Granger_Inventory[[#This Row],[quality]],Lookups!$H$2:$J$14,3,FALSE),0)</f>
        <v>13627.20468015931</v>
      </c>
      <c r="BK402" s="8">
        <f>_xlfn.IFNA(VLOOKUP(Granger_Inventory[[#This Row],[condition]],Lookups!$H$17:$J$24,3,FALSE),0)</f>
        <v>27308</v>
      </c>
      <c r="BL402" s="8">
        <f>Granger_Inventory[[#This Row],[Age]]*Lookups!$B$16</f>
        <v>-21355.103299999999</v>
      </c>
      <c r="BM402" s="8">
        <f>Granger_Inventory[[#This Row],[living_area]]*Lookups!$B$17</f>
        <v>73529.289537000004</v>
      </c>
      <c r="BN402" s="8">
        <f>(Granger_Inventory[[#This Row],[att_gar]]+Granger_Inventory[[#This Row],[blt_gar]])*Lookups!$B$18</f>
        <v>0</v>
      </c>
      <c r="BO402" s="8">
        <f>Granger_Inventory[[#This Row],[Patio]]*Lookups!$B$19</f>
        <v>0</v>
      </c>
      <c r="BP402" s="8">
        <f>SUM(Granger_Inventory[[#This Row],[Intercept]:[Patio_Value]])*Granger_Inventory[[#This Row],[res_pct]]</f>
        <v>122812.94991715932</v>
      </c>
      <c r="BQ402" s="8">
        <f>Granger_Inventory[[#This Row],[land_value]]</f>
        <v>37132.523746897263</v>
      </c>
      <c r="BR402" s="4">
        <f>_xlfn.IFNA(VLOOKUP(Granger_Inventory[[#This Row],[quality]],Lookups!$A$25:$C$35,3,FALSE),1)</f>
        <v>0.77695375541795109</v>
      </c>
      <c r="BS402" s="4">
        <f>_xlfn.IFNA(VLOOKUP(Granger_Inventory[[#This Row],[condition]],Lookups!$A$38:$C$45,3,FALSE),1)</f>
        <v>0.59507759803100935</v>
      </c>
      <c r="BT402" s="4">
        <f>IF(Granger_Inventory[[#This Row],[decade]]="",1,_xlfn.IFNA(VLOOKUP(Granger_Inventory[[#This Row],[decade]],Lookups!$G$28:$I$42,3,FALSE),1))</f>
        <v>0.879441629375324</v>
      </c>
      <c r="BU402" s="4">
        <f>_xlfn.IFNA(VLOOKUP(Granger_Inventory[[#This Row],[living_area_range]],Lookups!$A$48:$C$57,3,FALSE),1)</f>
        <v>0.97960506760539345</v>
      </c>
      <c r="BV402" s="4">
        <f>AVERAGE(Granger_Inventory[[#This Row],[qual_adj]:[living_range_adj]])</f>
        <v>0.80776951260741958</v>
      </c>
      <c r="BW402" s="8">
        <f>(Granger_Inventory[[#This Row],[sum_land]]-IF(Granger_Inventory[[#This Row],[no_utilities]]=1,12000,0))/IF(Granger_Inventory[[#This Row],[unbuildable]]=1,2,1)</f>
        <v>37132.523746897263</v>
      </c>
      <c r="BX402" s="8">
        <f>Granger_Inventory[[#This Row],[pre_res]]*Granger_Inventory[[#This Row],[overall_adj]]</f>
        <v>99204.556696463216</v>
      </c>
      <c r="BY402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402">
        <f>ROUND(Granger_Inventory[[#This Row],[detatched_value]]*Lookups!$I$45,-2)</f>
        <v>0</v>
      </c>
      <c r="CA402">
        <f>IF(ROUND(Granger_Inventory[[#This Row],[adj_res]]*Lookups!$I$45,-2)&lt;Granger_Inventory[[#This Row],[min_res]],Granger_Inventory[[#This Row],[min_res]],ROUND(Granger_Inventory[[#This Row],[adj_res]]*Lookups!$I$45,-2))</f>
        <v>94200</v>
      </c>
      <c r="CB402">
        <f>Granger_Inventory[[#This Row],[final_det]]+Granger_Inventory[[#This Row],[final_res]]</f>
        <v>94200</v>
      </c>
      <c r="CC402">
        <f>Granger_Inventory[[#This Row],[final_land]]+Granger_Inventory[[#This Row],[final_imp]]+Granger_Inventory[[#This Row],[crop_value]]</f>
        <v>129500</v>
      </c>
      <c r="CE402" t="str">
        <f t="shared" si="6"/>
        <v>update valuation set market_land =35300, market_bldg=94200, market_total =129500, market_mdno =402, market_date ='9/10/2023' where link_id = (select link_id from parcel where parcel_year = '2024' and parcel_id = '21102114401');</v>
      </c>
    </row>
    <row r="403" spans="1:83" x14ac:dyDescent="0.25">
      <c r="A403">
        <v>21102114413</v>
      </c>
      <c r="B403">
        <v>0.3</v>
      </c>
      <c r="C403">
        <v>13160</v>
      </c>
      <c r="D403" t="s">
        <v>137</v>
      </c>
      <c r="E403" t="s">
        <v>54</v>
      </c>
      <c r="F403" t="s">
        <v>54</v>
      </c>
      <c r="G403">
        <v>3</v>
      </c>
      <c r="H403" t="s">
        <v>55</v>
      </c>
      <c r="I403">
        <v>281000</v>
      </c>
      <c r="J403">
        <v>28500</v>
      </c>
      <c r="K403">
        <v>0.3</v>
      </c>
      <c r="L403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403">
        <v>0</v>
      </c>
      <c r="N403">
        <v>0</v>
      </c>
      <c r="O403">
        <v>0</v>
      </c>
      <c r="P403">
        <v>47108.068500000001</v>
      </c>
      <c r="Q403">
        <v>122298</v>
      </c>
      <c r="R403">
        <f>(Granger_Inventory[[#This Row],[ln_acres]]*Granger_Inventory[[#This Row],[coeff]])+Granger_Inventory[[#This Row],[const]]</f>
        <v>65581.166661676703</v>
      </c>
      <c r="S403" t="s">
        <v>56</v>
      </c>
      <c r="T403">
        <v>1</v>
      </c>
      <c r="U403" t="s">
        <v>71</v>
      </c>
      <c r="V403" t="s">
        <v>58</v>
      </c>
      <c r="W403">
        <v>0</v>
      </c>
      <c r="X403">
        <v>0</v>
      </c>
      <c r="Y403">
        <v>2</v>
      </c>
      <c r="Z403">
        <v>2</v>
      </c>
      <c r="AA403">
        <v>10</v>
      </c>
      <c r="AB403">
        <v>2500</v>
      </c>
      <c r="AC403">
        <v>2125</v>
      </c>
      <c r="AD403">
        <v>2125</v>
      </c>
      <c r="AE403">
        <v>0</v>
      </c>
      <c r="AF403">
        <v>0</v>
      </c>
      <c r="AG403">
        <v>0</v>
      </c>
      <c r="AH403">
        <v>0</v>
      </c>
      <c r="AI403">
        <v>528</v>
      </c>
      <c r="AJ403">
        <v>0</v>
      </c>
      <c r="AK403">
        <v>0</v>
      </c>
      <c r="AL403">
        <v>0</v>
      </c>
      <c r="AM403">
        <v>0</v>
      </c>
      <c r="AN403">
        <v>336</v>
      </c>
      <c r="AO403">
        <v>0</v>
      </c>
      <c r="AP403">
        <v>8</v>
      </c>
      <c r="AQ403">
        <v>0</v>
      </c>
      <c r="AR403">
        <v>0</v>
      </c>
      <c r="AS403" t="s">
        <v>59</v>
      </c>
      <c r="AT403">
        <v>1</v>
      </c>
      <c r="AU403" t="s">
        <v>63</v>
      </c>
      <c r="AV403" t="s">
        <v>65</v>
      </c>
      <c r="AW403">
        <v>1</v>
      </c>
      <c r="AX403">
        <v>3</v>
      </c>
      <c r="AY403">
        <v>0</v>
      </c>
      <c r="AZ403">
        <v>0</v>
      </c>
      <c r="BA403">
        <v>100</v>
      </c>
      <c r="BB403">
        <v>100</v>
      </c>
      <c r="BC403">
        <v>100</v>
      </c>
      <c r="BD403">
        <v>100</v>
      </c>
      <c r="BE403">
        <v>1</v>
      </c>
      <c r="BF403">
        <v>15000</v>
      </c>
      <c r="BG403">
        <v>1000</v>
      </c>
      <c r="BH403" s="8">
        <f>Granger_Inventory[[#This Row],[land_extract]]*Lookups!$B$3</f>
        <v>39068.720880293993</v>
      </c>
      <c r="BI403" s="8">
        <f>IF(Granger_Inventory[[#This Row],[bldg_style]]="",0,Lookups!$B$2)</f>
        <v>29703.559000000001</v>
      </c>
      <c r="BJ403" s="8">
        <f>_xlfn.IFNA(VLOOKUP(Granger_Inventory[[#This Row],[quality]],Lookups!$H$2:$J$14,3,FALSE),0)</f>
        <v>34195</v>
      </c>
      <c r="BK403" s="8">
        <f>_xlfn.IFNA(VLOOKUP(Granger_Inventory[[#This Row],[condition]],Lookups!$H$17:$J$24,3,FALSE),0)</f>
        <v>101774</v>
      </c>
      <c r="BL403" s="8">
        <f>Granger_Inventory[[#This Row],[Age]]*Lookups!$B$16</f>
        <v>-414.66219999999998</v>
      </c>
      <c r="BM403" s="8">
        <f>Granger_Inventory[[#This Row],[living_area]]*Lookups!$B$17</f>
        <v>142954.931625</v>
      </c>
      <c r="BN403" s="8">
        <f>(Granger_Inventory[[#This Row],[att_gar]]+Granger_Inventory[[#This Row],[blt_gar]])*Lookups!$B$18</f>
        <v>25580.325408000001</v>
      </c>
      <c r="BO403" s="8">
        <f>Granger_Inventory[[#This Row],[Patio]]*Lookups!$B$19</f>
        <v>0</v>
      </c>
      <c r="BP403" s="8">
        <f>SUM(Granger_Inventory[[#This Row],[Intercept]:[Patio_Value]])*Granger_Inventory[[#This Row],[res_pct]]</f>
        <v>333793.15383299999</v>
      </c>
      <c r="BQ403" s="8">
        <f>Granger_Inventory[[#This Row],[land_value]]</f>
        <v>39068.720880293993</v>
      </c>
      <c r="BR403" s="4">
        <f>_xlfn.IFNA(VLOOKUP(Granger_Inventory[[#This Row],[quality]],Lookups!$A$25:$C$35,3,FALSE),1)</f>
        <v>0.98258795897788032</v>
      </c>
      <c r="BS403" s="4">
        <f>_xlfn.IFNA(VLOOKUP(Granger_Inventory[[#This Row],[condition]],Lookups!$A$38:$C$45,3,FALSE),1)</f>
        <v>0.99135053432734199</v>
      </c>
      <c r="BT403" s="4">
        <f>IF(Granger_Inventory[[#This Row],[decade]]="",1,_xlfn.IFNA(VLOOKUP(Granger_Inventory[[#This Row],[decade]],Lookups!$G$28:$I$42,3,FALSE),1))</f>
        <v>0.95532362136731586</v>
      </c>
      <c r="BU403" s="4">
        <f>_xlfn.IFNA(VLOOKUP(Granger_Inventory[[#This Row],[living_area_range]],Lookups!$A$48:$C$57,3,FALSE),1)</f>
        <v>1.0000039906678986</v>
      </c>
      <c r="BV403" s="4">
        <f>AVERAGE(Granger_Inventory[[#This Row],[qual_adj]:[living_range_adj]])</f>
        <v>0.98231652633510924</v>
      </c>
      <c r="BW403" s="8">
        <f>(Granger_Inventory[[#This Row],[sum_land]]-IF(Granger_Inventory[[#This Row],[no_utilities]]=1,12000,0))/IF(Granger_Inventory[[#This Row],[unbuildable]]=1,2,1)</f>
        <v>39068.720880293993</v>
      </c>
      <c r="BX403" s="8">
        <f>Granger_Inventory[[#This Row],[pre_res]]*Granger_Inventory[[#This Row],[overall_adj]]</f>
        <v>327890.53138767328</v>
      </c>
      <c r="BY403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403">
        <f>ROUND(Granger_Inventory[[#This Row],[detatched_value]]*Lookups!$I$45,-2)</f>
        <v>0</v>
      </c>
      <c r="CA403">
        <f>IF(ROUND(Granger_Inventory[[#This Row],[adj_res]]*Lookups!$I$45,-2)&lt;Granger_Inventory[[#This Row],[min_res]],Granger_Inventory[[#This Row],[min_res]],ROUND(Granger_Inventory[[#This Row],[adj_res]]*Lookups!$I$45,-2))</f>
        <v>311500</v>
      </c>
      <c r="CB403">
        <f>Granger_Inventory[[#This Row],[final_det]]+Granger_Inventory[[#This Row],[final_res]]</f>
        <v>311500</v>
      </c>
      <c r="CC403">
        <f>Granger_Inventory[[#This Row],[final_land]]+Granger_Inventory[[#This Row],[final_imp]]+Granger_Inventory[[#This Row],[crop_value]]</f>
        <v>348600</v>
      </c>
      <c r="CE403" t="str">
        <f t="shared" si="6"/>
        <v>update valuation set market_land =37100, market_bldg=311500, market_total =348600, market_mdno =402, market_date ='9/10/2023' where link_id = (select link_id from parcel where parcel_year = '2024' and parcel_id = '21102114413');</v>
      </c>
    </row>
    <row r="404" spans="1:83" x14ac:dyDescent="0.25">
      <c r="A404">
        <v>21102114415</v>
      </c>
      <c r="B404">
        <v>0.34</v>
      </c>
      <c r="C404">
        <v>14948</v>
      </c>
      <c r="D404" t="s">
        <v>137</v>
      </c>
      <c r="E404" t="s">
        <v>54</v>
      </c>
      <c r="F404" t="s">
        <v>54</v>
      </c>
      <c r="G404">
        <v>3</v>
      </c>
      <c r="H404" t="s">
        <v>55</v>
      </c>
      <c r="I404">
        <v>128300</v>
      </c>
      <c r="J404">
        <v>29200</v>
      </c>
      <c r="K404">
        <v>0.34</v>
      </c>
      <c r="L404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404">
        <v>0</v>
      </c>
      <c r="N404">
        <v>0</v>
      </c>
      <c r="O404">
        <v>0</v>
      </c>
      <c r="P404">
        <v>47108.068500000001</v>
      </c>
      <c r="Q404">
        <v>122298</v>
      </c>
      <c r="R404">
        <f>(Granger_Inventory[[#This Row],[ln_acres]]*Granger_Inventory[[#This Row],[coeff]])+Granger_Inventory[[#This Row],[const]]</f>
        <v>71477.360573629325</v>
      </c>
      <c r="S404" t="s">
        <v>69</v>
      </c>
      <c r="T404">
        <v>1</v>
      </c>
      <c r="U404" t="s">
        <v>71</v>
      </c>
      <c r="V404" t="s">
        <v>77</v>
      </c>
      <c r="W404">
        <v>0</v>
      </c>
      <c r="X404">
        <v>0</v>
      </c>
      <c r="Y404">
        <v>24</v>
      </c>
      <c r="Z404">
        <v>103</v>
      </c>
      <c r="AA404">
        <v>110</v>
      </c>
      <c r="AB404">
        <v>2000</v>
      </c>
      <c r="AC404">
        <v>1508</v>
      </c>
      <c r="AD404">
        <v>1508</v>
      </c>
      <c r="AE404">
        <v>0</v>
      </c>
      <c r="AF404">
        <v>0</v>
      </c>
      <c r="AG404">
        <v>0</v>
      </c>
      <c r="AH404">
        <v>100</v>
      </c>
      <c r="AI404">
        <v>0</v>
      </c>
      <c r="AJ404">
        <v>0</v>
      </c>
      <c r="AK404">
        <v>416</v>
      </c>
      <c r="AL404">
        <v>0</v>
      </c>
      <c r="AM404">
        <v>0</v>
      </c>
      <c r="AN404">
        <v>0</v>
      </c>
      <c r="AO404">
        <v>0</v>
      </c>
      <c r="AP404">
        <v>8</v>
      </c>
      <c r="AQ404">
        <v>0</v>
      </c>
      <c r="AR404">
        <v>0</v>
      </c>
      <c r="AS404" t="s">
        <v>59</v>
      </c>
      <c r="AT404">
        <v>1</v>
      </c>
      <c r="AU404" t="s">
        <v>68</v>
      </c>
      <c r="AV404" t="s">
        <v>65</v>
      </c>
      <c r="AW404">
        <v>0</v>
      </c>
      <c r="AX404">
        <v>2</v>
      </c>
      <c r="AY404">
        <v>0</v>
      </c>
      <c r="AZ404">
        <v>0</v>
      </c>
      <c r="BA404">
        <v>100</v>
      </c>
      <c r="BB404">
        <v>100</v>
      </c>
      <c r="BC404">
        <v>100</v>
      </c>
      <c r="BD404">
        <v>100</v>
      </c>
      <c r="BE404">
        <v>1</v>
      </c>
      <c r="BF404">
        <v>15000</v>
      </c>
      <c r="BG404">
        <v>1000</v>
      </c>
      <c r="BH404" s="8">
        <f>Granger_Inventory[[#This Row],[land_extract]]*Lookups!$B$3</f>
        <v>42581.265196416658</v>
      </c>
      <c r="BI404" s="8">
        <f>IF(Granger_Inventory[[#This Row],[bldg_style]]="",0,Lookups!$B$2)</f>
        <v>29703.559000000001</v>
      </c>
      <c r="BJ404" s="8">
        <f>_xlfn.IFNA(VLOOKUP(Granger_Inventory[[#This Row],[quality]],Lookups!$H$2:$J$14,3,FALSE),0)</f>
        <v>34195</v>
      </c>
      <c r="BK404" s="8">
        <f>_xlfn.IFNA(VLOOKUP(Granger_Inventory[[#This Row],[condition]],Lookups!$H$17:$J$24,3,FALSE),0)</f>
        <v>33736</v>
      </c>
      <c r="BL404" s="8">
        <f>Granger_Inventory[[#This Row],[Age]]*Lookups!$B$16</f>
        <v>-21355.103299999999</v>
      </c>
      <c r="BM404" s="8">
        <f>Granger_Inventory[[#This Row],[living_area]]*Lookups!$B$17</f>
        <v>101447.546772</v>
      </c>
      <c r="BN404" s="8">
        <f>(Granger_Inventory[[#This Row],[att_gar]]+Granger_Inventory[[#This Row],[blt_gar]])*Lookups!$B$18</f>
        <v>0</v>
      </c>
      <c r="BO404" s="8">
        <f>Granger_Inventory[[#This Row],[Patio]]*Lookups!$B$19</f>
        <v>0</v>
      </c>
      <c r="BP404" s="8">
        <f>SUM(Granger_Inventory[[#This Row],[Intercept]:[Patio_Value]])*Granger_Inventory[[#This Row],[res_pct]]</f>
        <v>177727.00247200002</v>
      </c>
      <c r="BQ404" s="8">
        <f>Granger_Inventory[[#This Row],[land_value]]</f>
        <v>42581.265196416658</v>
      </c>
      <c r="BR404" s="4">
        <f>_xlfn.IFNA(VLOOKUP(Granger_Inventory[[#This Row],[quality]],Lookups!$A$25:$C$35,3,FALSE),1)</f>
        <v>0.98258795897788032</v>
      </c>
      <c r="BS404" s="4">
        <f>_xlfn.IFNA(VLOOKUP(Granger_Inventory[[#This Row],[condition]],Lookups!$A$38:$C$45,3,FALSE),1)</f>
        <v>0.92294678898076177</v>
      </c>
      <c r="BT404" s="4">
        <f>IF(Granger_Inventory[[#This Row],[decade]]="",1,_xlfn.IFNA(VLOOKUP(Granger_Inventory[[#This Row],[decade]],Lookups!$G$28:$I$42,3,FALSE),1))</f>
        <v>0.879441629375324</v>
      </c>
      <c r="BU404" s="4">
        <f>_xlfn.IFNA(VLOOKUP(Granger_Inventory[[#This Row],[living_area_range]],Lookups!$A$48:$C$57,3,FALSE),1)</f>
        <v>0.97860968051050168</v>
      </c>
      <c r="BV404" s="4">
        <f>AVERAGE(Granger_Inventory[[#This Row],[qual_adj]:[living_range_adj]])</f>
        <v>0.940896514461117</v>
      </c>
      <c r="BW404" s="8">
        <f>(Granger_Inventory[[#This Row],[sum_land]]-IF(Granger_Inventory[[#This Row],[no_utilities]]=1,12000,0))/IF(Granger_Inventory[[#This Row],[unbuildable]]=1,2,1)</f>
        <v>42581.265196416658</v>
      </c>
      <c r="BX404" s="8">
        <f>Granger_Inventory[[#This Row],[pre_res]]*Granger_Inventory[[#This Row],[overall_adj]]</f>
        <v>167222.71715152715</v>
      </c>
      <c r="BY404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404">
        <f>ROUND(Granger_Inventory[[#This Row],[detatched_value]]*Lookups!$I$45,-2)</f>
        <v>0</v>
      </c>
      <c r="CA404">
        <f>IF(ROUND(Granger_Inventory[[#This Row],[adj_res]]*Lookups!$I$45,-2)&lt;Granger_Inventory[[#This Row],[min_res]],Granger_Inventory[[#This Row],[min_res]],ROUND(Granger_Inventory[[#This Row],[adj_res]]*Lookups!$I$45,-2))</f>
        <v>158900</v>
      </c>
      <c r="CB404">
        <f>Granger_Inventory[[#This Row],[final_det]]+Granger_Inventory[[#This Row],[final_res]]</f>
        <v>158900</v>
      </c>
      <c r="CC404">
        <f>Granger_Inventory[[#This Row],[final_land]]+Granger_Inventory[[#This Row],[final_imp]]+Granger_Inventory[[#This Row],[crop_value]]</f>
        <v>199400</v>
      </c>
      <c r="CE404" t="str">
        <f t="shared" si="6"/>
        <v>update valuation set market_land =40500, market_bldg=158900, market_total =199400, market_mdno =402, market_date ='9/10/2023' where link_id = (select link_id from parcel where parcel_year = '2024' and parcel_id = '21102114415');</v>
      </c>
    </row>
    <row r="405" spans="1:83" x14ac:dyDescent="0.25">
      <c r="A405">
        <v>21102114417</v>
      </c>
      <c r="B405">
        <v>0.1</v>
      </c>
      <c r="C405">
        <v>4328</v>
      </c>
      <c r="D405" t="s">
        <v>137</v>
      </c>
      <c r="E405" t="s">
        <v>54</v>
      </c>
      <c r="F405" t="s">
        <v>54</v>
      </c>
      <c r="G405">
        <v>3</v>
      </c>
      <c r="H405" t="s">
        <v>55</v>
      </c>
      <c r="I405">
        <v>47000</v>
      </c>
      <c r="J405">
        <v>22400</v>
      </c>
      <c r="K405">
        <v>0.1</v>
      </c>
      <c r="L405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405">
        <v>0</v>
      </c>
      <c r="N405">
        <v>0</v>
      </c>
      <c r="O405">
        <v>0</v>
      </c>
      <c r="P405">
        <v>47108.068500000001</v>
      </c>
      <c r="Q405">
        <v>122298</v>
      </c>
      <c r="R405">
        <f>(Granger_Inventory[[#This Row],[ln_acres]]*Granger_Inventory[[#This Row],[coeff]])+Granger_Inventory[[#This Row],[const]]</f>
        <v>13827.663712157635</v>
      </c>
      <c r="S405" t="s">
        <v>80</v>
      </c>
      <c r="T405">
        <v>2</v>
      </c>
      <c r="U405" t="s">
        <v>78</v>
      </c>
      <c r="V405" t="s">
        <v>77</v>
      </c>
      <c r="W405">
        <v>0</v>
      </c>
      <c r="X405">
        <v>0</v>
      </c>
      <c r="Y405">
        <v>65</v>
      </c>
      <c r="Z405">
        <v>113</v>
      </c>
      <c r="AA405">
        <v>120</v>
      </c>
      <c r="AB405">
        <v>1000</v>
      </c>
      <c r="AC405">
        <v>878</v>
      </c>
      <c r="AD405">
        <v>588</v>
      </c>
      <c r="AE405">
        <v>290</v>
      </c>
      <c r="AF405">
        <v>0</v>
      </c>
      <c r="AG405">
        <v>0</v>
      </c>
      <c r="AH405">
        <v>588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20</v>
      </c>
      <c r="AO405">
        <v>0</v>
      </c>
      <c r="AP405">
        <v>5</v>
      </c>
      <c r="AQ405">
        <v>1</v>
      </c>
      <c r="AR405">
        <v>0</v>
      </c>
      <c r="AS405" t="s">
        <v>59</v>
      </c>
      <c r="AT405">
        <v>1</v>
      </c>
      <c r="AU405" t="s">
        <v>60</v>
      </c>
      <c r="AV405" t="s">
        <v>61</v>
      </c>
      <c r="AW405">
        <v>0</v>
      </c>
      <c r="AX405">
        <v>2</v>
      </c>
      <c r="AY405">
        <v>0</v>
      </c>
      <c r="AZ405">
        <v>7800</v>
      </c>
      <c r="BA405">
        <v>100</v>
      </c>
      <c r="BB405">
        <v>100</v>
      </c>
      <c r="BC405">
        <v>100</v>
      </c>
      <c r="BD405">
        <v>100</v>
      </c>
      <c r="BE405">
        <v>1</v>
      </c>
      <c r="BF405">
        <v>15000</v>
      </c>
      <c r="BG405">
        <v>1000</v>
      </c>
      <c r="BH405" s="8">
        <f>Granger_Inventory[[#This Row],[land_extract]]*Lookups!$B$3</f>
        <v>8237.5651653746372</v>
      </c>
      <c r="BI405" s="8">
        <f>IF(Granger_Inventory[[#This Row],[bldg_style]]="",0,Lookups!$B$2)</f>
        <v>29703.559000000001</v>
      </c>
      <c r="BJ405" s="8">
        <f>_xlfn.IFNA(VLOOKUP(Granger_Inventory[[#This Row],[quality]],Lookups!$H$2:$J$14,3,FALSE),0)</f>
        <v>23737.786340274597</v>
      </c>
      <c r="BK405" s="8">
        <f>_xlfn.IFNA(VLOOKUP(Granger_Inventory[[#This Row],[condition]],Lookups!$H$17:$J$24,3,FALSE),0)</f>
        <v>33736</v>
      </c>
      <c r="BL405" s="8">
        <f>Granger_Inventory[[#This Row],[Age]]*Lookups!$B$16</f>
        <v>-23428.4143</v>
      </c>
      <c r="BM405" s="8">
        <f>Granger_Inventory[[#This Row],[living_area]]*Lookups!$B$17</f>
        <v>59065.614102</v>
      </c>
      <c r="BN405" s="8">
        <f>(Granger_Inventory[[#This Row],[att_gar]]+Granger_Inventory[[#This Row],[blt_gar]])*Lookups!$B$18</f>
        <v>0</v>
      </c>
      <c r="BO405" s="8">
        <f>Granger_Inventory[[#This Row],[Patio]]*Lookups!$B$19</f>
        <v>0</v>
      </c>
      <c r="BP405" s="8">
        <f>SUM(Granger_Inventory[[#This Row],[Intercept]:[Patio_Value]])*Granger_Inventory[[#This Row],[res_pct]]</f>
        <v>122814.54514227458</v>
      </c>
      <c r="BQ405" s="8">
        <f>Granger_Inventory[[#This Row],[land_value]]</f>
        <v>8237.5651653746372</v>
      </c>
      <c r="BR405" s="4">
        <f>_xlfn.IFNA(VLOOKUP(Granger_Inventory[[#This Row],[quality]],Lookups!$A$25:$C$35,3,FALSE),1)</f>
        <v>0.77695375541795109</v>
      </c>
      <c r="BS405" s="4">
        <f>_xlfn.IFNA(VLOOKUP(Granger_Inventory[[#This Row],[condition]],Lookups!$A$38:$C$45,3,FALSE),1)</f>
        <v>0.92294678898076177</v>
      </c>
      <c r="BT405" s="4">
        <f>IF(Granger_Inventory[[#This Row],[decade]]="",1,_xlfn.IFNA(VLOOKUP(Granger_Inventory[[#This Row],[decade]],Lookups!$G$28:$I$42,3,FALSE),1))</f>
        <v>0.879441629375324</v>
      </c>
      <c r="BU405" s="4">
        <f>_xlfn.IFNA(VLOOKUP(Granger_Inventory[[#This Row],[living_area_range]],Lookups!$A$48:$C$57,3,FALSE),1)</f>
        <v>0.81272404900450645</v>
      </c>
      <c r="BV405" s="4">
        <f>AVERAGE(Granger_Inventory[[#This Row],[qual_adj]:[living_range_adj]])</f>
        <v>0.84801655569463574</v>
      </c>
      <c r="BW405" s="8">
        <f>(Granger_Inventory[[#This Row],[sum_land]]-IF(Granger_Inventory[[#This Row],[no_utilities]]=1,12000,0))/IF(Granger_Inventory[[#This Row],[unbuildable]]=1,2,1)</f>
        <v>8237.5651653746372</v>
      </c>
      <c r="BX405" s="8">
        <f>Granger_Inventory[[#This Row],[pre_res]]*Granger_Inventory[[#This Row],[overall_adj]]</f>
        <v>104148.76756075505</v>
      </c>
      <c r="BY405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405">
        <f>ROUND(Granger_Inventory[[#This Row],[detatched_value]]*Lookups!$I$45,-2)</f>
        <v>7400</v>
      </c>
      <c r="CA405">
        <f>IF(ROUND(Granger_Inventory[[#This Row],[adj_res]]*Lookups!$I$45,-2)&lt;Granger_Inventory[[#This Row],[min_res]],Granger_Inventory[[#This Row],[min_res]],ROUND(Granger_Inventory[[#This Row],[adj_res]]*Lookups!$I$45,-2))</f>
        <v>98900</v>
      </c>
      <c r="CB405">
        <f>Granger_Inventory[[#This Row],[final_det]]+Granger_Inventory[[#This Row],[final_res]]</f>
        <v>106300</v>
      </c>
      <c r="CC405">
        <f>Granger_Inventory[[#This Row],[final_land]]+Granger_Inventory[[#This Row],[final_imp]]+Granger_Inventory[[#This Row],[crop_value]]</f>
        <v>121300</v>
      </c>
      <c r="CE405" t="str">
        <f t="shared" si="6"/>
        <v>update valuation set market_land =15000, market_bldg=106300, market_total =121300, market_mdno =402, market_date ='9/10/2023' where link_id = (select link_id from parcel where parcel_year = '2024' and parcel_id = '21102114417');</v>
      </c>
    </row>
    <row r="406" spans="1:83" x14ac:dyDescent="0.25">
      <c r="A406">
        <v>21102114420</v>
      </c>
      <c r="B406">
        <v>0.23</v>
      </c>
      <c r="C406">
        <v>10019</v>
      </c>
      <c r="D406" t="s">
        <v>137</v>
      </c>
      <c r="E406" t="s">
        <v>54</v>
      </c>
      <c r="F406" t="s">
        <v>54</v>
      </c>
      <c r="G406">
        <v>3</v>
      </c>
      <c r="H406" t="s">
        <v>55</v>
      </c>
      <c r="I406">
        <v>179400</v>
      </c>
      <c r="J406">
        <v>27000</v>
      </c>
      <c r="K406">
        <v>0.23</v>
      </c>
      <c r="L406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406">
        <v>0</v>
      </c>
      <c r="N406">
        <v>0</v>
      </c>
      <c r="O406">
        <v>0</v>
      </c>
      <c r="P406">
        <v>47108.068500000001</v>
      </c>
      <c r="Q406">
        <v>122298</v>
      </c>
      <c r="R406">
        <f>(Granger_Inventory[[#This Row],[ln_acres]]*Granger_Inventory[[#This Row],[coeff]])+Granger_Inventory[[#This Row],[const]]</f>
        <v>53064.403729659418</v>
      </c>
      <c r="S406" t="s">
        <v>56</v>
      </c>
      <c r="T406">
        <v>1</v>
      </c>
      <c r="U406" t="s">
        <v>71</v>
      </c>
      <c r="V406" t="s">
        <v>70</v>
      </c>
      <c r="W406">
        <v>0</v>
      </c>
      <c r="X406">
        <v>0</v>
      </c>
      <c r="Y406">
        <v>10</v>
      </c>
      <c r="Z406">
        <v>10</v>
      </c>
      <c r="AA406">
        <v>10</v>
      </c>
      <c r="AB406">
        <v>1500</v>
      </c>
      <c r="AC406">
        <v>1080</v>
      </c>
      <c r="AD406">
        <v>1080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80</v>
      </c>
      <c r="AO406">
        <v>0</v>
      </c>
      <c r="AP406">
        <v>7</v>
      </c>
      <c r="AQ406">
        <v>0</v>
      </c>
      <c r="AR406">
        <v>0</v>
      </c>
      <c r="AS406" t="s">
        <v>59</v>
      </c>
      <c r="AT406">
        <v>1</v>
      </c>
      <c r="AU406" t="s">
        <v>68</v>
      </c>
      <c r="AV406" t="s">
        <v>65</v>
      </c>
      <c r="AW406">
        <v>0</v>
      </c>
      <c r="AX406">
        <v>3</v>
      </c>
      <c r="AY406">
        <v>0</v>
      </c>
      <c r="AZ406">
        <v>0</v>
      </c>
      <c r="BA406">
        <v>100</v>
      </c>
      <c r="BB406">
        <v>100</v>
      </c>
      <c r="BC406">
        <v>100</v>
      </c>
      <c r="BD406">
        <v>100</v>
      </c>
      <c r="BE406">
        <v>1</v>
      </c>
      <c r="BF406">
        <v>15000</v>
      </c>
      <c r="BG406">
        <v>1000</v>
      </c>
      <c r="BH406" s="8">
        <f>Granger_Inventory[[#This Row],[land_extract]]*Lookups!$B$3</f>
        <v>31612.09968539299</v>
      </c>
      <c r="BI406" s="8">
        <f>IF(Granger_Inventory[[#This Row],[bldg_style]]="",0,Lookups!$B$2)</f>
        <v>29703.559000000001</v>
      </c>
      <c r="BJ406" s="8">
        <f>_xlfn.IFNA(VLOOKUP(Granger_Inventory[[#This Row],[quality]],Lookups!$H$2:$J$14,3,FALSE),0)</f>
        <v>34195</v>
      </c>
      <c r="BK406" s="8">
        <f>_xlfn.IFNA(VLOOKUP(Granger_Inventory[[#This Row],[condition]],Lookups!$H$17:$J$24,3,FALSE),0)</f>
        <v>80695</v>
      </c>
      <c r="BL406" s="8">
        <f>Granger_Inventory[[#This Row],[Age]]*Lookups!$B$16</f>
        <v>-2073.3109999999997</v>
      </c>
      <c r="BM406" s="8">
        <f>Granger_Inventory[[#This Row],[living_area]]*Lookups!$B$17</f>
        <v>72654.741720000005</v>
      </c>
      <c r="BN406" s="8">
        <f>(Granger_Inventory[[#This Row],[att_gar]]+Granger_Inventory[[#This Row],[blt_gar]])*Lookups!$B$18</f>
        <v>0</v>
      </c>
      <c r="BO406" s="8">
        <f>Granger_Inventory[[#This Row],[Patio]]*Lookups!$B$19</f>
        <v>0</v>
      </c>
      <c r="BP406" s="8">
        <f>SUM(Granger_Inventory[[#This Row],[Intercept]:[Patio_Value]])*Granger_Inventory[[#This Row],[res_pct]]</f>
        <v>215174.98972000001</v>
      </c>
      <c r="BQ406" s="8">
        <f>Granger_Inventory[[#This Row],[land_value]]</f>
        <v>31612.09968539299</v>
      </c>
      <c r="BR406" s="4">
        <f>_xlfn.IFNA(VLOOKUP(Granger_Inventory[[#This Row],[quality]],Lookups!$A$25:$C$35,3,FALSE),1)</f>
        <v>0.98258795897788032</v>
      </c>
      <c r="BS406" s="4">
        <f>_xlfn.IFNA(VLOOKUP(Granger_Inventory[[#This Row],[condition]],Lookups!$A$38:$C$45,3,FALSE),1)</f>
        <v>0.99484195314749324</v>
      </c>
      <c r="BT406" s="4">
        <f>IF(Granger_Inventory[[#This Row],[decade]]="",1,_xlfn.IFNA(VLOOKUP(Granger_Inventory[[#This Row],[decade]],Lookups!$G$28:$I$42,3,FALSE),1))</f>
        <v>0.95532362136731586</v>
      </c>
      <c r="BU406" s="4">
        <f>_xlfn.IFNA(VLOOKUP(Granger_Inventory[[#This Row],[living_area_range]],Lookups!$A$48:$C$57,3,FALSE),1)</f>
        <v>0.97960506760539345</v>
      </c>
      <c r="BV406" s="4">
        <f>AVERAGE(Granger_Inventory[[#This Row],[qual_adj]:[living_range_adj]])</f>
        <v>0.97808965027452077</v>
      </c>
      <c r="BW406" s="8">
        <f>(Granger_Inventory[[#This Row],[sum_land]]-IF(Granger_Inventory[[#This Row],[no_utilities]]=1,12000,0))/IF(Granger_Inventory[[#This Row],[unbuildable]]=1,2,1)</f>
        <v>31612.09968539299</v>
      </c>
      <c r="BX406" s="8">
        <f>Granger_Inventory[[#This Row],[pre_res]]*Granger_Inventory[[#This Row],[overall_adj]]</f>
        <v>210460.4304430584</v>
      </c>
      <c r="BY406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406">
        <f>ROUND(Granger_Inventory[[#This Row],[detatched_value]]*Lookups!$I$45,-2)</f>
        <v>0</v>
      </c>
      <c r="CA406">
        <f>IF(ROUND(Granger_Inventory[[#This Row],[adj_res]]*Lookups!$I$45,-2)&lt;Granger_Inventory[[#This Row],[min_res]],Granger_Inventory[[#This Row],[min_res]],ROUND(Granger_Inventory[[#This Row],[adj_res]]*Lookups!$I$45,-2))</f>
        <v>199900</v>
      </c>
      <c r="CB406">
        <f>Granger_Inventory[[#This Row],[final_det]]+Granger_Inventory[[#This Row],[final_res]]</f>
        <v>199900</v>
      </c>
      <c r="CC406">
        <f>Granger_Inventory[[#This Row],[final_land]]+Granger_Inventory[[#This Row],[final_imp]]+Granger_Inventory[[#This Row],[crop_value]]</f>
        <v>229900</v>
      </c>
      <c r="CE406" t="str">
        <f t="shared" si="6"/>
        <v>update valuation set market_land =30000, market_bldg=199900, market_total =229900, market_mdno =402, market_date ='9/10/2023' where link_id = (select link_id from parcel where parcel_year = '2024' and parcel_id = '21102114420');</v>
      </c>
    </row>
    <row r="407" spans="1:83" x14ac:dyDescent="0.25">
      <c r="A407">
        <v>21102114423</v>
      </c>
      <c r="B407">
        <v>0.25</v>
      </c>
      <c r="C407">
        <v>10835</v>
      </c>
      <c r="D407" t="s">
        <v>137</v>
      </c>
      <c r="E407" t="s">
        <v>54</v>
      </c>
      <c r="F407" t="s">
        <v>54</v>
      </c>
      <c r="G407">
        <v>3</v>
      </c>
      <c r="H407" t="s">
        <v>55</v>
      </c>
      <c r="I407">
        <v>59200</v>
      </c>
      <c r="J407">
        <v>27400</v>
      </c>
      <c r="K407">
        <v>0.25</v>
      </c>
      <c r="L407">
        <f>IF(Granger_Inventory[[#This Row],[parcel_acres]]-Granger_Inventory[[#This Row],[non_valued_acres]] =0,0,LN(Granger_Inventory[[#This Row],[parcel_acres]]-Granger_Inventory[[#This Row],[non_valued_acres]]))</f>
        <v>-1.3862943611198906</v>
      </c>
      <c r="M407">
        <v>0</v>
      </c>
      <c r="N407">
        <v>0</v>
      </c>
      <c r="O407">
        <v>0</v>
      </c>
      <c r="P407">
        <v>47108.068500000001</v>
      </c>
      <c r="Q407">
        <v>122298</v>
      </c>
      <c r="R407">
        <f>(Granger_Inventory[[#This Row],[ln_acres]]*Granger_Inventory[[#This Row],[coeff]])+Granger_Inventory[[#This Row],[const]]</f>
        <v>56992.350275200457</v>
      </c>
      <c r="S407" t="s">
        <v>62</v>
      </c>
      <c r="T407">
        <v>1</v>
      </c>
      <c r="U407" t="s">
        <v>106</v>
      </c>
      <c r="V407" t="s">
        <v>79</v>
      </c>
      <c r="W407">
        <v>0</v>
      </c>
      <c r="X407">
        <v>0</v>
      </c>
      <c r="Y407">
        <v>50</v>
      </c>
      <c r="Z407">
        <v>73</v>
      </c>
      <c r="AA407">
        <v>80</v>
      </c>
      <c r="AB407">
        <v>1500</v>
      </c>
      <c r="AC407">
        <v>1167</v>
      </c>
      <c r="AD407">
        <v>1167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5</v>
      </c>
      <c r="AQ407">
        <v>1</v>
      </c>
      <c r="AR407">
        <v>0</v>
      </c>
      <c r="AS407" t="s">
        <v>59</v>
      </c>
      <c r="AT407">
        <v>1</v>
      </c>
      <c r="AU407" t="s">
        <v>68</v>
      </c>
      <c r="AV407" t="s">
        <v>65</v>
      </c>
      <c r="AW407">
        <v>0</v>
      </c>
      <c r="AX407">
        <v>2</v>
      </c>
      <c r="AY407">
        <v>0</v>
      </c>
      <c r="AZ407">
        <v>0</v>
      </c>
      <c r="BA407">
        <v>100</v>
      </c>
      <c r="BB407">
        <v>100</v>
      </c>
      <c r="BC407">
        <v>100</v>
      </c>
      <c r="BD407">
        <v>100</v>
      </c>
      <c r="BE407">
        <v>1</v>
      </c>
      <c r="BF407">
        <v>15000</v>
      </c>
      <c r="BG407">
        <v>1000</v>
      </c>
      <c r="BH407" s="8">
        <f>Granger_Inventory[[#This Row],[land_extract]]*Lookups!$B$3</f>
        <v>33952.098423325391</v>
      </c>
      <c r="BI407" s="8">
        <f>IF(Granger_Inventory[[#This Row],[bldg_style]]="",0,Lookups!$B$2)</f>
        <v>29703.559000000001</v>
      </c>
      <c r="BJ407" s="8">
        <f>_xlfn.IFNA(VLOOKUP(Granger_Inventory[[#This Row],[quality]],Lookups!$H$2:$J$14,3,FALSE),0)</f>
        <v>17985.540667792327</v>
      </c>
      <c r="BK407" s="8">
        <f>_xlfn.IFNA(VLOOKUP(Granger_Inventory[[#This Row],[condition]],Lookups!$H$17:$J$24,3,FALSE),0)</f>
        <v>86727</v>
      </c>
      <c r="BL407" s="8">
        <f>Granger_Inventory[[#This Row],[Age]]*Lookups!$B$16</f>
        <v>-15135.1703</v>
      </c>
      <c r="BM407" s="8">
        <f>Granger_Inventory[[#This Row],[living_area]]*Lookups!$B$17</f>
        <v>78507.484802999999</v>
      </c>
      <c r="BN407" s="8">
        <f>(Granger_Inventory[[#This Row],[att_gar]]+Granger_Inventory[[#This Row],[blt_gar]])*Lookups!$B$18</f>
        <v>0</v>
      </c>
      <c r="BO407" s="8">
        <f>Granger_Inventory[[#This Row],[Patio]]*Lookups!$B$19</f>
        <v>0</v>
      </c>
      <c r="BP407" s="8">
        <f>SUM(Granger_Inventory[[#This Row],[Intercept]:[Patio_Value]])*Granger_Inventory[[#This Row],[res_pct]]</f>
        <v>197788.41417079233</v>
      </c>
      <c r="BQ407" s="8">
        <f>Granger_Inventory[[#This Row],[land_value]]</f>
        <v>33952.098423325391</v>
      </c>
      <c r="BR407" s="4">
        <f>_xlfn.IFNA(VLOOKUP(Granger_Inventory[[#This Row],[quality]],Lookups!$A$25:$C$35,3,FALSE),1)</f>
        <v>0.77695375541795109</v>
      </c>
      <c r="BS407" s="4">
        <f>_xlfn.IFNA(VLOOKUP(Granger_Inventory[[#This Row],[condition]],Lookups!$A$38:$C$45,3,FALSE),1)</f>
        <v>0.85322907131620684</v>
      </c>
      <c r="BT407" s="4">
        <f>IF(Granger_Inventory[[#This Row],[decade]]="",1,_xlfn.IFNA(VLOOKUP(Granger_Inventory[[#This Row],[decade]],Lookups!$G$28:$I$42,3,FALSE),1))</f>
        <v>0.76006056002554967</v>
      </c>
      <c r="BU407" s="4">
        <f>_xlfn.IFNA(VLOOKUP(Granger_Inventory[[#This Row],[living_area_range]],Lookups!$A$48:$C$57,3,FALSE),1)</f>
        <v>0.97960506760539345</v>
      </c>
      <c r="BV407" s="4">
        <f>AVERAGE(Granger_Inventory[[#This Row],[qual_adj]:[living_range_adj]])</f>
        <v>0.84246211359127532</v>
      </c>
      <c r="BW407" s="8">
        <f>(Granger_Inventory[[#This Row],[sum_land]]-IF(Granger_Inventory[[#This Row],[no_utilities]]=1,12000,0))/IF(Granger_Inventory[[#This Row],[unbuildable]]=1,2,1)</f>
        <v>33952.098423325391</v>
      </c>
      <c r="BX407" s="8">
        <f>Granger_Inventory[[#This Row],[pre_res]]*Granger_Inventory[[#This Row],[overall_adj]]</f>
        <v>166629.24544619225</v>
      </c>
      <c r="BY407">
        <f>IF(ROUND(Granger_Inventory[[#This Row],[adj_land]]*Lookups!$I$45,-2)&lt;Granger_Inventory[[#This Row],[min_land]],Granger_Inventory[[#This Row],[min_land]],ROUND(Granger_Inventory[[#This Row],[adj_land]]*Lookups!$I$45,-2))</f>
        <v>32300</v>
      </c>
      <c r="BZ407">
        <f>ROUND(Granger_Inventory[[#This Row],[detatched_value]]*Lookups!$I$45,-2)</f>
        <v>0</v>
      </c>
      <c r="CA407">
        <f>IF(ROUND(Granger_Inventory[[#This Row],[adj_res]]*Lookups!$I$45,-2)&lt;Granger_Inventory[[#This Row],[min_res]],Granger_Inventory[[#This Row],[min_res]],ROUND(Granger_Inventory[[#This Row],[adj_res]]*Lookups!$I$45,-2))</f>
        <v>158300</v>
      </c>
      <c r="CB407">
        <f>Granger_Inventory[[#This Row],[final_det]]+Granger_Inventory[[#This Row],[final_res]]</f>
        <v>158300</v>
      </c>
      <c r="CC407">
        <f>Granger_Inventory[[#This Row],[final_land]]+Granger_Inventory[[#This Row],[final_imp]]+Granger_Inventory[[#This Row],[crop_value]]</f>
        <v>190600</v>
      </c>
      <c r="CE407" t="str">
        <f t="shared" si="6"/>
        <v>update valuation set market_land =32300, market_bldg=158300, market_total =190600, market_mdno =402, market_date ='9/10/2023' where link_id = (select link_id from parcel where parcel_year = '2024' and parcel_id = '21102114423');</v>
      </c>
    </row>
    <row r="408" spans="1:83" x14ac:dyDescent="0.25">
      <c r="A408">
        <v>21102114437</v>
      </c>
      <c r="B408">
        <v>0.3</v>
      </c>
      <c r="C408" t="s">
        <v>137</v>
      </c>
      <c r="D408" t="s">
        <v>137</v>
      </c>
      <c r="E408" t="s">
        <v>54</v>
      </c>
      <c r="F408" t="s">
        <v>54</v>
      </c>
      <c r="G408">
        <v>3</v>
      </c>
      <c r="H408" t="s">
        <v>55</v>
      </c>
      <c r="I408">
        <v>218600</v>
      </c>
      <c r="J408">
        <v>28500</v>
      </c>
      <c r="K408">
        <v>0.3</v>
      </c>
      <c r="L408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408">
        <v>0</v>
      </c>
      <c r="N408">
        <v>0</v>
      </c>
      <c r="O408">
        <v>0</v>
      </c>
      <c r="P408">
        <v>47108.068500000001</v>
      </c>
      <c r="Q408">
        <v>122298</v>
      </c>
      <c r="R408">
        <f>(Granger_Inventory[[#This Row],[ln_acres]]*Granger_Inventory[[#This Row],[coeff]])+Granger_Inventory[[#This Row],[const]]</f>
        <v>65581.166661676703</v>
      </c>
      <c r="S408" t="s">
        <v>69</v>
      </c>
      <c r="T408">
        <v>1</v>
      </c>
      <c r="U408" t="s">
        <v>64</v>
      </c>
      <c r="V408" t="s">
        <v>58</v>
      </c>
      <c r="W408">
        <v>0</v>
      </c>
      <c r="X408">
        <v>0</v>
      </c>
      <c r="Y408">
        <v>4</v>
      </c>
      <c r="Z408">
        <v>4</v>
      </c>
      <c r="AA408">
        <v>10</v>
      </c>
      <c r="AB408">
        <v>1500</v>
      </c>
      <c r="AC408">
        <v>1440</v>
      </c>
      <c r="AD408">
        <v>1440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70</v>
      </c>
      <c r="AM408">
        <v>0</v>
      </c>
      <c r="AN408">
        <v>0</v>
      </c>
      <c r="AO408">
        <v>0</v>
      </c>
      <c r="AP408">
        <v>8</v>
      </c>
      <c r="AQ408">
        <v>0</v>
      </c>
      <c r="AR408">
        <v>0</v>
      </c>
      <c r="AS408" t="s">
        <v>59</v>
      </c>
      <c r="AT408">
        <v>1</v>
      </c>
      <c r="AU408" t="s">
        <v>60</v>
      </c>
      <c r="AV408" t="s">
        <v>65</v>
      </c>
      <c r="AW408">
        <v>0</v>
      </c>
      <c r="AX408">
        <v>3</v>
      </c>
      <c r="AY408">
        <v>0</v>
      </c>
      <c r="AZ408">
        <v>0</v>
      </c>
      <c r="BA408">
        <v>100</v>
      </c>
      <c r="BB408">
        <v>100</v>
      </c>
      <c r="BC408">
        <v>100</v>
      </c>
      <c r="BD408">
        <v>100</v>
      </c>
      <c r="BE408">
        <v>1</v>
      </c>
      <c r="BF408">
        <v>15000</v>
      </c>
      <c r="BG408">
        <v>1000</v>
      </c>
      <c r="BH408" s="8">
        <f>Granger_Inventory[[#This Row],[land_extract]]*Lookups!$B$3</f>
        <v>39068.720880293993</v>
      </c>
      <c r="BI408" s="8">
        <f>IF(Granger_Inventory[[#This Row],[bldg_style]]="",0,Lookups!$B$2)</f>
        <v>29703.559000000001</v>
      </c>
      <c r="BJ408" s="8">
        <f>_xlfn.IFNA(VLOOKUP(Granger_Inventory[[#This Row],[quality]],Lookups!$H$2:$J$14,3,FALSE),0)</f>
        <v>36568</v>
      </c>
      <c r="BK408" s="8">
        <f>_xlfn.IFNA(VLOOKUP(Granger_Inventory[[#This Row],[condition]],Lookups!$H$17:$J$24,3,FALSE),0)</f>
        <v>101774</v>
      </c>
      <c r="BL408" s="8">
        <f>Granger_Inventory[[#This Row],[Age]]*Lookups!$B$16</f>
        <v>-829.32439999999997</v>
      </c>
      <c r="BM408" s="8">
        <f>Granger_Inventory[[#This Row],[living_area]]*Lookups!$B$17</f>
        <v>96872.988960000002</v>
      </c>
      <c r="BN408" s="8">
        <f>(Granger_Inventory[[#This Row],[att_gar]]+Granger_Inventory[[#This Row],[blt_gar]])*Lookups!$B$18</f>
        <v>0</v>
      </c>
      <c r="BO408" s="8">
        <f>Granger_Inventory[[#This Row],[Patio]]*Lookups!$B$19</f>
        <v>0</v>
      </c>
      <c r="BP408" s="8">
        <f>SUM(Granger_Inventory[[#This Row],[Intercept]:[Patio_Value]])*Granger_Inventory[[#This Row],[res_pct]]</f>
        <v>264089.22356000001</v>
      </c>
      <c r="BQ408" s="8">
        <f>Granger_Inventory[[#This Row],[land_value]]</f>
        <v>39068.720880293993</v>
      </c>
      <c r="BR408" s="4">
        <f>_xlfn.IFNA(VLOOKUP(Granger_Inventory[[#This Row],[quality]],Lookups!$A$25:$C$35,3,FALSE),1)</f>
        <v>0.99049976351917957</v>
      </c>
      <c r="BS408" s="4">
        <f>_xlfn.IFNA(VLOOKUP(Granger_Inventory[[#This Row],[condition]],Lookups!$A$38:$C$45,3,FALSE),1)</f>
        <v>0.99135053432734199</v>
      </c>
      <c r="BT408" s="4">
        <f>IF(Granger_Inventory[[#This Row],[decade]]="",1,_xlfn.IFNA(VLOOKUP(Granger_Inventory[[#This Row],[decade]],Lookups!$G$28:$I$42,3,FALSE),1))</f>
        <v>0.95532362136731586</v>
      </c>
      <c r="BU408" s="4">
        <f>_xlfn.IFNA(VLOOKUP(Granger_Inventory[[#This Row],[living_area_range]],Lookups!$A$48:$C$57,3,FALSE),1)</f>
        <v>0.97960506760539345</v>
      </c>
      <c r="BV408" s="4">
        <f>AVERAGE(Granger_Inventory[[#This Row],[qual_adj]:[living_range_adj]])</f>
        <v>0.97919474670480777</v>
      </c>
      <c r="BW408" s="8">
        <f>(Granger_Inventory[[#This Row],[sum_land]]-IF(Granger_Inventory[[#This Row],[no_utilities]]=1,12000,0))/IF(Granger_Inventory[[#This Row],[unbuildable]]=1,2,1)</f>
        <v>39068.720880293993</v>
      </c>
      <c r="BX408" s="8">
        <f>Granger_Inventory[[#This Row],[pre_res]]*Granger_Inventory[[#This Row],[overall_adj]]</f>
        <v>258594.78037130355</v>
      </c>
      <c r="BY408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408">
        <f>ROUND(Granger_Inventory[[#This Row],[detatched_value]]*Lookups!$I$45,-2)</f>
        <v>0</v>
      </c>
      <c r="CA408">
        <f>IF(ROUND(Granger_Inventory[[#This Row],[adj_res]]*Lookups!$I$45,-2)&lt;Granger_Inventory[[#This Row],[min_res]],Granger_Inventory[[#This Row],[min_res]],ROUND(Granger_Inventory[[#This Row],[adj_res]]*Lookups!$I$45,-2))</f>
        <v>245700</v>
      </c>
      <c r="CB408">
        <f>Granger_Inventory[[#This Row],[final_det]]+Granger_Inventory[[#This Row],[final_res]]</f>
        <v>245700</v>
      </c>
      <c r="CC408">
        <f>Granger_Inventory[[#This Row],[final_land]]+Granger_Inventory[[#This Row],[final_imp]]+Granger_Inventory[[#This Row],[crop_value]]</f>
        <v>282800</v>
      </c>
      <c r="CE408" t="str">
        <f t="shared" si="6"/>
        <v>update valuation set market_land =37100, market_bldg=245700, market_total =282800, market_mdno =402, market_date ='9/10/2023' where link_id = (select link_id from parcel where parcel_year = '2024' and parcel_id = '21102114437');</v>
      </c>
    </row>
    <row r="409" spans="1:83" x14ac:dyDescent="0.25">
      <c r="A409">
        <v>21102114442</v>
      </c>
      <c r="B409">
        <v>0.2</v>
      </c>
      <c r="C409">
        <v>8537</v>
      </c>
      <c r="D409" t="s">
        <v>137</v>
      </c>
      <c r="E409" t="s">
        <v>54</v>
      </c>
      <c r="F409" t="s">
        <v>54</v>
      </c>
      <c r="G409">
        <v>3</v>
      </c>
      <c r="H409" t="s">
        <v>55</v>
      </c>
      <c r="I409">
        <v>4200</v>
      </c>
      <c r="J409">
        <v>26200</v>
      </c>
      <c r="K409">
        <v>0.2</v>
      </c>
      <c r="L409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409">
        <v>0</v>
      </c>
      <c r="N409">
        <v>0</v>
      </c>
      <c r="O409">
        <v>0</v>
      </c>
      <c r="P409">
        <v>47108.068500000001</v>
      </c>
      <c r="Q409">
        <v>122298</v>
      </c>
      <c r="R409">
        <f>(Granger_Inventory[[#This Row],[ln_acres]]*Granger_Inventory[[#This Row],[coeff]])+Granger_Inventory[[#This Row],[const]]</f>
        <v>46480.488574557399</v>
      </c>
      <c r="S409" t="s">
        <v>69</v>
      </c>
      <c r="T409">
        <v>1</v>
      </c>
      <c r="U409" t="s">
        <v>78</v>
      </c>
      <c r="V409" t="s">
        <v>77</v>
      </c>
      <c r="W409">
        <v>0</v>
      </c>
      <c r="X409">
        <v>0</v>
      </c>
      <c r="Y409">
        <v>51</v>
      </c>
      <c r="Z409">
        <v>77</v>
      </c>
      <c r="AA409">
        <v>80</v>
      </c>
      <c r="AB409">
        <v>1500</v>
      </c>
      <c r="AC409">
        <v>1015</v>
      </c>
      <c r="AD409">
        <v>1015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192</v>
      </c>
      <c r="AL409">
        <v>0</v>
      </c>
      <c r="AM409">
        <v>0</v>
      </c>
      <c r="AN409">
        <v>75</v>
      </c>
      <c r="AO409">
        <v>0</v>
      </c>
      <c r="AP409">
        <v>5</v>
      </c>
      <c r="AQ409">
        <v>0</v>
      </c>
      <c r="AR409">
        <v>0</v>
      </c>
      <c r="AS409" t="s">
        <v>59</v>
      </c>
      <c r="AT409">
        <v>0</v>
      </c>
      <c r="AU409" t="s">
        <v>83</v>
      </c>
      <c r="AV409" t="s">
        <v>61</v>
      </c>
      <c r="AW409">
        <v>0</v>
      </c>
      <c r="AX409">
        <v>2</v>
      </c>
      <c r="AY409">
        <v>0</v>
      </c>
      <c r="AZ409">
        <v>0</v>
      </c>
      <c r="BA409">
        <v>100</v>
      </c>
      <c r="BB409">
        <v>100</v>
      </c>
      <c r="BC409">
        <v>100</v>
      </c>
      <c r="BD409">
        <v>100</v>
      </c>
      <c r="BE409">
        <v>1</v>
      </c>
      <c r="BF409">
        <v>15000</v>
      </c>
      <c r="BG409">
        <v>1000</v>
      </c>
      <c r="BH409" s="8">
        <f>Granger_Inventory[[#This Row],[land_extract]]*Lookups!$B$3</f>
        <v>27689.858642911939</v>
      </c>
      <c r="BI409" s="8">
        <f>IF(Granger_Inventory[[#This Row],[bldg_style]]="",0,Lookups!$B$2)</f>
        <v>29703.559000000001</v>
      </c>
      <c r="BJ409" s="8">
        <f>_xlfn.IFNA(VLOOKUP(Granger_Inventory[[#This Row],[quality]],Lookups!$H$2:$J$14,3,FALSE),0)</f>
        <v>23737.786340274597</v>
      </c>
      <c r="BK409" s="8">
        <f>_xlfn.IFNA(VLOOKUP(Granger_Inventory[[#This Row],[condition]],Lookups!$H$17:$J$24,3,FALSE),0)</f>
        <v>33736</v>
      </c>
      <c r="BL409" s="8">
        <f>Granger_Inventory[[#This Row],[Age]]*Lookups!$B$16</f>
        <v>-15964.494699999999</v>
      </c>
      <c r="BM409" s="8">
        <f>Granger_Inventory[[#This Row],[living_area]]*Lookups!$B$17</f>
        <v>68282.002634999997</v>
      </c>
      <c r="BN409" s="8">
        <f>(Granger_Inventory[[#This Row],[att_gar]]+Granger_Inventory[[#This Row],[blt_gar]])*Lookups!$B$18</f>
        <v>0</v>
      </c>
      <c r="BO409" s="8">
        <f>Granger_Inventory[[#This Row],[Patio]]*Lookups!$B$19</f>
        <v>0</v>
      </c>
      <c r="BP409" s="8">
        <f>SUM(Granger_Inventory[[#This Row],[Intercept]:[Patio_Value]])*Granger_Inventory[[#This Row],[res_pct]]</f>
        <v>139494.8532752746</v>
      </c>
      <c r="BQ409" s="8">
        <f>Granger_Inventory[[#This Row],[land_value]]</f>
        <v>27689.858642911939</v>
      </c>
      <c r="BR409" s="4">
        <f>_xlfn.IFNA(VLOOKUP(Granger_Inventory[[#This Row],[quality]],Lookups!$A$25:$C$35,3,FALSE),1)</f>
        <v>0.77695375541795109</v>
      </c>
      <c r="BS409" s="4">
        <f>_xlfn.IFNA(VLOOKUP(Granger_Inventory[[#This Row],[condition]],Lookups!$A$38:$C$45,3,FALSE),1)</f>
        <v>0.92294678898076177</v>
      </c>
      <c r="BT409" s="4">
        <f>IF(Granger_Inventory[[#This Row],[decade]]="",1,_xlfn.IFNA(VLOOKUP(Granger_Inventory[[#This Row],[decade]],Lookups!$G$28:$I$42,3,FALSE),1))</f>
        <v>0.76006056002554967</v>
      </c>
      <c r="BU409" s="4">
        <f>_xlfn.IFNA(VLOOKUP(Granger_Inventory[[#This Row],[living_area_range]],Lookups!$A$48:$C$57,3,FALSE),1)</f>
        <v>0.97960506760539345</v>
      </c>
      <c r="BV409" s="4">
        <f>AVERAGE(Granger_Inventory[[#This Row],[qual_adj]:[living_range_adj]])</f>
        <v>0.85989154300741399</v>
      </c>
      <c r="BW409" s="8">
        <f>(Granger_Inventory[[#This Row],[sum_land]]-IF(Granger_Inventory[[#This Row],[no_utilities]]=1,12000,0))/IF(Granger_Inventory[[#This Row],[unbuildable]]=1,2,1)</f>
        <v>27689.858642911939</v>
      </c>
      <c r="BX409" s="8">
        <f>Granger_Inventory[[#This Row],[pre_res]]*Granger_Inventory[[#This Row],[overall_adj]]</f>
        <v>119950.44462446868</v>
      </c>
      <c r="BY409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409">
        <f>ROUND(Granger_Inventory[[#This Row],[detatched_value]]*Lookups!$I$45,-2)</f>
        <v>0</v>
      </c>
      <c r="CA409">
        <f>IF(ROUND(Granger_Inventory[[#This Row],[adj_res]]*Lookups!$I$45,-2)&lt;Granger_Inventory[[#This Row],[min_res]],Granger_Inventory[[#This Row],[min_res]],ROUND(Granger_Inventory[[#This Row],[adj_res]]*Lookups!$I$45,-2))</f>
        <v>114000</v>
      </c>
      <c r="CB409">
        <f>Granger_Inventory[[#This Row],[final_det]]+Granger_Inventory[[#This Row],[final_res]]</f>
        <v>114000</v>
      </c>
      <c r="CC409">
        <f>Granger_Inventory[[#This Row],[final_land]]+Granger_Inventory[[#This Row],[final_imp]]+Granger_Inventory[[#This Row],[crop_value]]</f>
        <v>140300</v>
      </c>
      <c r="CE409" t="str">
        <f t="shared" si="6"/>
        <v>update valuation set market_land =26300, market_bldg=114000, market_total =140300, market_mdno =402, market_date ='9/10/2023' where link_id = (select link_id from parcel where parcel_year = '2024' and parcel_id = '21102114442');</v>
      </c>
    </row>
    <row r="410" spans="1:83" x14ac:dyDescent="0.25">
      <c r="A410">
        <v>21102114446</v>
      </c>
      <c r="B410">
        <v>0.16</v>
      </c>
      <c r="C410">
        <v>7000</v>
      </c>
      <c r="D410" t="s">
        <v>137</v>
      </c>
      <c r="E410" t="s">
        <v>54</v>
      </c>
      <c r="F410" t="s">
        <v>54</v>
      </c>
      <c r="G410">
        <v>3</v>
      </c>
      <c r="H410" t="s">
        <v>55</v>
      </c>
      <c r="I410">
        <v>141500</v>
      </c>
      <c r="J410">
        <v>25000</v>
      </c>
      <c r="K410">
        <v>0.16</v>
      </c>
      <c r="L41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0">
        <v>0</v>
      </c>
      <c r="N410">
        <v>0</v>
      </c>
      <c r="O410">
        <v>0</v>
      </c>
      <c r="P410">
        <v>47108.068500000001</v>
      </c>
      <c r="Q410">
        <v>122298</v>
      </c>
      <c r="R410">
        <f>(Granger_Inventory[[#This Row],[ln_acres]]*Granger_Inventory[[#This Row],[coeff]])+Granger_Inventory[[#This Row],[const]]</f>
        <v>35968.626873914327</v>
      </c>
      <c r="S410" t="s">
        <v>69</v>
      </c>
      <c r="T410">
        <v>1</v>
      </c>
      <c r="U410" t="s">
        <v>78</v>
      </c>
      <c r="V410" t="s">
        <v>72</v>
      </c>
      <c r="W410">
        <v>0</v>
      </c>
      <c r="X410">
        <v>0</v>
      </c>
      <c r="Y410">
        <v>53</v>
      </c>
      <c r="Z410">
        <v>93</v>
      </c>
      <c r="AA410">
        <v>100</v>
      </c>
      <c r="AB410">
        <v>1500</v>
      </c>
      <c r="AC410">
        <v>1320</v>
      </c>
      <c r="AD410">
        <v>1320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72</v>
      </c>
      <c r="AO410">
        <v>0</v>
      </c>
      <c r="AP410">
        <v>5</v>
      </c>
      <c r="AQ410">
        <v>0</v>
      </c>
      <c r="AR410">
        <v>0</v>
      </c>
      <c r="AS410" t="s">
        <v>59</v>
      </c>
      <c r="AT410">
        <v>0</v>
      </c>
      <c r="AU410" t="s">
        <v>83</v>
      </c>
      <c r="AV410" t="s">
        <v>61</v>
      </c>
      <c r="AW410">
        <v>0</v>
      </c>
      <c r="AX410">
        <v>3</v>
      </c>
      <c r="AY410">
        <v>0</v>
      </c>
      <c r="AZ410">
        <v>0</v>
      </c>
      <c r="BA410">
        <v>100</v>
      </c>
      <c r="BB410">
        <v>100</v>
      </c>
      <c r="BC410">
        <v>100</v>
      </c>
      <c r="BD410">
        <v>100</v>
      </c>
      <c r="BE410">
        <v>1</v>
      </c>
      <c r="BF410">
        <v>15000</v>
      </c>
      <c r="BG410">
        <v>1000</v>
      </c>
      <c r="BH410" s="8">
        <f>Granger_Inventory[[#This Row],[land_extract]]*Lookups!$B$3</f>
        <v>21427.618862498482</v>
      </c>
      <c r="BI410" s="8">
        <f>IF(Granger_Inventory[[#This Row],[bldg_style]]="",0,Lookups!$B$2)</f>
        <v>29703.559000000001</v>
      </c>
      <c r="BJ410" s="8">
        <f>_xlfn.IFNA(VLOOKUP(Granger_Inventory[[#This Row],[quality]],Lookups!$H$2:$J$14,3,FALSE),0)</f>
        <v>23737.786340274597</v>
      </c>
      <c r="BK410" s="8">
        <f>_xlfn.IFNA(VLOOKUP(Granger_Inventory[[#This Row],[condition]],Lookups!$H$17:$J$24,3,FALSE),0)</f>
        <v>94106</v>
      </c>
      <c r="BL410" s="8">
        <f>Granger_Inventory[[#This Row],[Age]]*Lookups!$B$16</f>
        <v>-19281.792300000001</v>
      </c>
      <c r="BM410" s="8">
        <f>Granger_Inventory[[#This Row],[living_area]]*Lookups!$B$17</f>
        <v>88800.239879999994</v>
      </c>
      <c r="BN410" s="8">
        <f>(Granger_Inventory[[#This Row],[att_gar]]+Granger_Inventory[[#This Row],[blt_gar]])*Lookups!$B$18</f>
        <v>0</v>
      </c>
      <c r="BO410" s="8">
        <f>Granger_Inventory[[#This Row],[Patio]]*Lookups!$B$19</f>
        <v>0</v>
      </c>
      <c r="BP410" s="8">
        <f>SUM(Granger_Inventory[[#This Row],[Intercept]:[Patio_Value]])*Granger_Inventory[[#This Row],[res_pct]]</f>
        <v>217065.7929202746</v>
      </c>
      <c r="BQ410" s="8">
        <f>Granger_Inventory[[#This Row],[land_value]]</f>
        <v>21427.618862498482</v>
      </c>
      <c r="BR410" s="4">
        <f>_xlfn.IFNA(VLOOKUP(Granger_Inventory[[#This Row],[quality]],Lookups!$A$25:$C$35,3,FALSE),1)</f>
        <v>0.77695375541795109</v>
      </c>
      <c r="BS410" s="4">
        <f>_xlfn.IFNA(VLOOKUP(Granger_Inventory[[#This Row],[condition]],Lookups!$A$38:$C$45,3,FALSE),1)</f>
        <v>0.98658583151544277</v>
      </c>
      <c r="BT410" s="4">
        <f>IF(Granger_Inventory[[#This Row],[decade]]="",1,_xlfn.IFNA(VLOOKUP(Granger_Inventory[[#This Row],[decade]],Lookups!$G$28:$I$42,3,FALSE),1))</f>
        <v>0.879441629375324</v>
      </c>
      <c r="BU410" s="4">
        <f>_xlfn.IFNA(VLOOKUP(Granger_Inventory[[#This Row],[living_area_range]],Lookups!$A$48:$C$57,3,FALSE),1)</f>
        <v>0.97960506760539345</v>
      </c>
      <c r="BV410" s="4">
        <f>AVERAGE(Granger_Inventory[[#This Row],[qual_adj]:[living_range_adj]])</f>
        <v>0.90564657097852785</v>
      </c>
      <c r="BW410" s="8">
        <f>(Granger_Inventory[[#This Row],[sum_land]]-IF(Granger_Inventory[[#This Row],[no_utilities]]=1,12000,0))/IF(Granger_Inventory[[#This Row],[unbuildable]]=1,2,1)</f>
        <v>21427.618862498482</v>
      </c>
      <c r="BX410" s="8">
        <f>Granger_Inventory[[#This Row],[pre_res]]*Granger_Inventory[[#This Row],[overall_adj]]</f>
        <v>196584.89103498191</v>
      </c>
      <c r="BY41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0">
        <f>ROUND(Granger_Inventory[[#This Row],[detatched_value]]*Lookups!$I$45,-2)</f>
        <v>0</v>
      </c>
      <c r="CA410">
        <f>IF(ROUND(Granger_Inventory[[#This Row],[adj_res]]*Lookups!$I$45,-2)&lt;Granger_Inventory[[#This Row],[min_res]],Granger_Inventory[[#This Row],[min_res]],ROUND(Granger_Inventory[[#This Row],[adj_res]]*Lookups!$I$45,-2))</f>
        <v>186800</v>
      </c>
      <c r="CB410">
        <f>Granger_Inventory[[#This Row],[final_det]]+Granger_Inventory[[#This Row],[final_res]]</f>
        <v>186800</v>
      </c>
      <c r="CC410">
        <f>Granger_Inventory[[#This Row],[final_land]]+Granger_Inventory[[#This Row],[final_imp]]+Granger_Inventory[[#This Row],[crop_value]]</f>
        <v>207200</v>
      </c>
      <c r="CE410" t="str">
        <f t="shared" si="6"/>
        <v>update valuation set market_land =20400, market_bldg=186800, market_total =207200, market_mdno =402, market_date ='9/10/2023' where link_id = (select link_id from parcel where parcel_year = '2024' and parcel_id = '21102114446');</v>
      </c>
    </row>
    <row r="411" spans="1:83" x14ac:dyDescent="0.25">
      <c r="A411">
        <v>21102114448</v>
      </c>
      <c r="B411">
        <v>0.32</v>
      </c>
      <c r="C411" t="s">
        <v>137</v>
      </c>
      <c r="D411" t="s">
        <v>137</v>
      </c>
      <c r="E411" t="s">
        <v>54</v>
      </c>
      <c r="F411" t="s">
        <v>54</v>
      </c>
      <c r="G411">
        <v>3</v>
      </c>
      <c r="H411" t="s">
        <v>55</v>
      </c>
      <c r="I411">
        <v>102900</v>
      </c>
      <c r="J411">
        <v>28800</v>
      </c>
      <c r="K411">
        <v>0.32</v>
      </c>
      <c r="L411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411">
        <v>0</v>
      </c>
      <c r="N411">
        <v>0</v>
      </c>
      <c r="O411">
        <v>0</v>
      </c>
      <c r="P411">
        <v>47108.068500000001</v>
      </c>
      <c r="Q411">
        <v>122298</v>
      </c>
      <c r="R411">
        <f>(Granger_Inventory[[#This Row],[ln_acres]]*Granger_Inventory[[#This Row],[coeff]])+Granger_Inventory[[#This Row],[const]]</f>
        <v>68621.451736314106</v>
      </c>
      <c r="S411" t="s">
        <v>56</v>
      </c>
      <c r="T411">
        <v>1</v>
      </c>
      <c r="U411" t="s">
        <v>71</v>
      </c>
      <c r="V411" t="s">
        <v>77</v>
      </c>
      <c r="W411">
        <v>0</v>
      </c>
      <c r="X411">
        <v>0</v>
      </c>
      <c r="Y411">
        <v>46</v>
      </c>
      <c r="Z411">
        <v>55</v>
      </c>
      <c r="AA411">
        <v>60</v>
      </c>
      <c r="AB411">
        <v>1500</v>
      </c>
      <c r="AC411">
        <v>1176</v>
      </c>
      <c r="AD411">
        <v>1176</v>
      </c>
      <c r="AE411">
        <v>0</v>
      </c>
      <c r="AF411">
        <v>0</v>
      </c>
      <c r="AG411">
        <v>0</v>
      </c>
      <c r="AH411">
        <v>368</v>
      </c>
      <c r="AI411">
        <v>0</v>
      </c>
      <c r="AJ411">
        <v>0</v>
      </c>
      <c r="AK411">
        <v>560</v>
      </c>
      <c r="AL411">
        <v>0</v>
      </c>
      <c r="AM411">
        <v>0</v>
      </c>
      <c r="AN411">
        <v>24</v>
      </c>
      <c r="AO411">
        <v>0</v>
      </c>
      <c r="AP411">
        <v>5</v>
      </c>
      <c r="AQ411">
        <v>0</v>
      </c>
      <c r="AR411">
        <v>0</v>
      </c>
      <c r="AS411" t="s">
        <v>59</v>
      </c>
      <c r="AT411">
        <v>1</v>
      </c>
      <c r="AU411" t="s">
        <v>60</v>
      </c>
      <c r="AV411" t="s">
        <v>61</v>
      </c>
      <c r="AW411">
        <v>1</v>
      </c>
      <c r="AX411">
        <v>3</v>
      </c>
      <c r="AY411">
        <v>0</v>
      </c>
      <c r="AZ411">
        <v>400</v>
      </c>
      <c r="BA411">
        <v>100</v>
      </c>
      <c r="BB411">
        <v>100</v>
      </c>
      <c r="BC411">
        <v>100</v>
      </c>
      <c r="BD411">
        <v>100</v>
      </c>
      <c r="BE411">
        <v>1</v>
      </c>
      <c r="BF411">
        <v>15000</v>
      </c>
      <c r="BG411">
        <v>1000</v>
      </c>
      <c r="BH411" s="8">
        <f>Granger_Inventory[[#This Row],[land_extract]]*Lookups!$B$3</f>
        <v>40879.912340035793</v>
      </c>
      <c r="BI411" s="8">
        <f>IF(Granger_Inventory[[#This Row],[bldg_style]]="",0,Lookups!$B$2)</f>
        <v>29703.559000000001</v>
      </c>
      <c r="BJ411" s="8">
        <f>_xlfn.IFNA(VLOOKUP(Granger_Inventory[[#This Row],[quality]],Lookups!$H$2:$J$14,3,FALSE),0)</f>
        <v>34195</v>
      </c>
      <c r="BK411" s="8">
        <f>_xlfn.IFNA(VLOOKUP(Granger_Inventory[[#This Row],[condition]],Lookups!$H$17:$J$24,3,FALSE),0)</f>
        <v>33736</v>
      </c>
      <c r="BL411" s="8">
        <f>Granger_Inventory[[#This Row],[Age]]*Lookups!$B$16</f>
        <v>-11403.210499999999</v>
      </c>
      <c r="BM411" s="8">
        <f>Granger_Inventory[[#This Row],[living_area]]*Lookups!$B$17</f>
        <v>79112.940984000001</v>
      </c>
      <c r="BN411" s="8">
        <f>(Granger_Inventory[[#This Row],[att_gar]]+Granger_Inventory[[#This Row],[blt_gar]])*Lookups!$B$18</f>
        <v>0</v>
      </c>
      <c r="BO411" s="8">
        <f>Granger_Inventory[[#This Row],[Patio]]*Lookups!$B$19</f>
        <v>0</v>
      </c>
      <c r="BP411" s="8">
        <f>SUM(Granger_Inventory[[#This Row],[Intercept]:[Patio_Value]])*Granger_Inventory[[#This Row],[res_pct]]</f>
        <v>165344.28948400001</v>
      </c>
      <c r="BQ411" s="8">
        <f>Granger_Inventory[[#This Row],[land_value]]</f>
        <v>40879.912340035793</v>
      </c>
      <c r="BR411" s="4">
        <f>_xlfn.IFNA(VLOOKUP(Granger_Inventory[[#This Row],[quality]],Lookups!$A$25:$C$35,3,FALSE),1)</f>
        <v>0.98258795897788032</v>
      </c>
      <c r="BS411" s="4">
        <f>_xlfn.IFNA(VLOOKUP(Granger_Inventory[[#This Row],[condition]],Lookups!$A$38:$C$45,3,FALSE),1)</f>
        <v>0.92294678898076177</v>
      </c>
      <c r="BT411" s="4">
        <f>IF(Granger_Inventory[[#This Row],[decade]]="",1,_xlfn.IFNA(VLOOKUP(Granger_Inventory[[#This Row],[decade]],Lookups!$G$28:$I$42,3,FALSE),1))</f>
        <v>0.86581421791274704</v>
      </c>
      <c r="BU411" s="4">
        <f>_xlfn.IFNA(VLOOKUP(Granger_Inventory[[#This Row],[living_area_range]],Lookups!$A$48:$C$57,3,FALSE),1)</f>
        <v>0.97960506760539345</v>
      </c>
      <c r="BV411" s="4">
        <f>AVERAGE(Granger_Inventory[[#This Row],[qual_adj]:[living_range_adj]])</f>
        <v>0.93773850836919559</v>
      </c>
      <c r="BW411" s="8">
        <f>(Granger_Inventory[[#This Row],[sum_land]]-IF(Granger_Inventory[[#This Row],[no_utilities]]=1,12000,0))/IF(Granger_Inventory[[#This Row],[unbuildable]]=1,2,1)</f>
        <v>40879.912340035793</v>
      </c>
      <c r="BX411" s="8">
        <f>Granger_Inventory[[#This Row],[pre_res]]*Granger_Inventory[[#This Row],[overall_adj]]</f>
        <v>155049.70738809064</v>
      </c>
      <c r="BY411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411">
        <f>ROUND(Granger_Inventory[[#This Row],[detatched_value]]*Lookups!$I$45,-2)</f>
        <v>400</v>
      </c>
      <c r="CA411">
        <f>IF(ROUND(Granger_Inventory[[#This Row],[adj_res]]*Lookups!$I$45,-2)&lt;Granger_Inventory[[#This Row],[min_res]],Granger_Inventory[[#This Row],[min_res]],ROUND(Granger_Inventory[[#This Row],[adj_res]]*Lookups!$I$45,-2))</f>
        <v>147300</v>
      </c>
      <c r="CB411">
        <f>Granger_Inventory[[#This Row],[final_det]]+Granger_Inventory[[#This Row],[final_res]]</f>
        <v>147700</v>
      </c>
      <c r="CC411">
        <f>Granger_Inventory[[#This Row],[final_land]]+Granger_Inventory[[#This Row],[final_imp]]+Granger_Inventory[[#This Row],[crop_value]]</f>
        <v>186500</v>
      </c>
      <c r="CE411" t="str">
        <f t="shared" si="6"/>
        <v>update valuation set market_land =38800, market_bldg=147700, market_total =186500, market_mdno =402, market_date ='9/10/2023' where link_id = (select link_id from parcel where parcel_year = '2024' and parcel_id = '21102114448');</v>
      </c>
    </row>
    <row r="412" spans="1:83" x14ac:dyDescent="0.25">
      <c r="A412">
        <v>21102114449</v>
      </c>
      <c r="B412">
        <v>0.16</v>
      </c>
      <c r="C412" t="s">
        <v>137</v>
      </c>
      <c r="D412" t="s">
        <v>137</v>
      </c>
      <c r="E412" t="s">
        <v>54</v>
      </c>
      <c r="F412" t="s">
        <v>54</v>
      </c>
      <c r="G412">
        <v>3</v>
      </c>
      <c r="H412" t="s">
        <v>55</v>
      </c>
      <c r="I412">
        <v>124900</v>
      </c>
      <c r="J412">
        <v>25000</v>
      </c>
      <c r="K412">
        <v>0.16</v>
      </c>
      <c r="L41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2">
        <v>0</v>
      </c>
      <c r="N412">
        <v>0</v>
      </c>
      <c r="O412">
        <v>0</v>
      </c>
      <c r="P412">
        <v>47108.068500000001</v>
      </c>
      <c r="Q412">
        <v>122298</v>
      </c>
      <c r="R412">
        <f>(Granger_Inventory[[#This Row],[ln_acres]]*Granger_Inventory[[#This Row],[coeff]])+Granger_Inventory[[#This Row],[const]]</f>
        <v>35968.626873914327</v>
      </c>
      <c r="S412" t="s">
        <v>56</v>
      </c>
      <c r="T412">
        <v>1</v>
      </c>
      <c r="U412" t="s">
        <v>71</v>
      </c>
      <c r="V412" t="s">
        <v>77</v>
      </c>
      <c r="W412">
        <v>0</v>
      </c>
      <c r="X412">
        <v>0</v>
      </c>
      <c r="Y412">
        <v>46</v>
      </c>
      <c r="Z412">
        <v>53</v>
      </c>
      <c r="AA412">
        <v>60</v>
      </c>
      <c r="AB412">
        <v>1500</v>
      </c>
      <c r="AC412">
        <v>1196</v>
      </c>
      <c r="AD412">
        <v>1196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240</v>
      </c>
      <c r="AL412">
        <v>0</v>
      </c>
      <c r="AM412">
        <v>0</v>
      </c>
      <c r="AN412">
        <v>0</v>
      </c>
      <c r="AO412">
        <v>0</v>
      </c>
      <c r="AP412">
        <v>5</v>
      </c>
      <c r="AQ412">
        <v>0</v>
      </c>
      <c r="AR412">
        <v>0</v>
      </c>
      <c r="AS412" t="s">
        <v>59</v>
      </c>
      <c r="AT412">
        <v>1</v>
      </c>
      <c r="AU412" t="s">
        <v>60</v>
      </c>
      <c r="AV412" t="s">
        <v>61</v>
      </c>
      <c r="AW412">
        <v>0</v>
      </c>
      <c r="AX412">
        <v>4</v>
      </c>
      <c r="AY412">
        <v>0</v>
      </c>
      <c r="AZ412">
        <v>0</v>
      </c>
      <c r="BA412">
        <v>100</v>
      </c>
      <c r="BB412">
        <v>100</v>
      </c>
      <c r="BC412">
        <v>100</v>
      </c>
      <c r="BD412">
        <v>100</v>
      </c>
      <c r="BE412">
        <v>1</v>
      </c>
      <c r="BF412">
        <v>15000</v>
      </c>
      <c r="BG412">
        <v>1000</v>
      </c>
      <c r="BH412" s="8">
        <f>Granger_Inventory[[#This Row],[land_extract]]*Lookups!$B$3</f>
        <v>21427.618862498482</v>
      </c>
      <c r="BI412" s="8">
        <f>IF(Granger_Inventory[[#This Row],[bldg_style]]="",0,Lookups!$B$2)</f>
        <v>29703.559000000001</v>
      </c>
      <c r="BJ412" s="8">
        <f>_xlfn.IFNA(VLOOKUP(Granger_Inventory[[#This Row],[quality]],Lookups!$H$2:$J$14,3,FALSE),0)</f>
        <v>34195</v>
      </c>
      <c r="BK412" s="8">
        <f>_xlfn.IFNA(VLOOKUP(Granger_Inventory[[#This Row],[condition]],Lookups!$H$17:$J$24,3,FALSE),0)</f>
        <v>33736</v>
      </c>
      <c r="BL412" s="8">
        <f>Granger_Inventory[[#This Row],[Age]]*Lookups!$B$16</f>
        <v>-10988.5483</v>
      </c>
      <c r="BM412" s="8">
        <f>Granger_Inventory[[#This Row],[living_area]]*Lookups!$B$17</f>
        <v>80458.399164000002</v>
      </c>
      <c r="BN412" s="8">
        <f>(Granger_Inventory[[#This Row],[att_gar]]+Granger_Inventory[[#This Row],[blt_gar]])*Lookups!$B$18</f>
        <v>0</v>
      </c>
      <c r="BO412" s="8">
        <f>Granger_Inventory[[#This Row],[Patio]]*Lookups!$B$19</f>
        <v>0</v>
      </c>
      <c r="BP412" s="8">
        <f>SUM(Granger_Inventory[[#This Row],[Intercept]:[Patio_Value]])*Granger_Inventory[[#This Row],[res_pct]]</f>
        <v>167104.40986400002</v>
      </c>
      <c r="BQ412" s="8">
        <f>Granger_Inventory[[#This Row],[land_value]]</f>
        <v>21427.618862498482</v>
      </c>
      <c r="BR412" s="4">
        <f>_xlfn.IFNA(VLOOKUP(Granger_Inventory[[#This Row],[quality]],Lookups!$A$25:$C$35,3,FALSE),1)</f>
        <v>0.98258795897788032</v>
      </c>
      <c r="BS412" s="4">
        <f>_xlfn.IFNA(VLOOKUP(Granger_Inventory[[#This Row],[condition]],Lookups!$A$38:$C$45,3,FALSE),1)</f>
        <v>0.92294678898076177</v>
      </c>
      <c r="BT412" s="4">
        <f>IF(Granger_Inventory[[#This Row],[decade]]="",1,_xlfn.IFNA(VLOOKUP(Granger_Inventory[[#This Row],[decade]],Lookups!$G$28:$I$42,3,FALSE),1))</f>
        <v>0.86581421791274704</v>
      </c>
      <c r="BU412" s="4">
        <f>_xlfn.IFNA(VLOOKUP(Granger_Inventory[[#This Row],[living_area_range]],Lookups!$A$48:$C$57,3,FALSE),1)</f>
        <v>0.97960506760539345</v>
      </c>
      <c r="BV412" s="4">
        <f>AVERAGE(Granger_Inventory[[#This Row],[qual_adj]:[living_range_adj]])</f>
        <v>0.93773850836919559</v>
      </c>
      <c r="BW412" s="8">
        <f>(Granger_Inventory[[#This Row],[sum_land]]-IF(Granger_Inventory[[#This Row],[no_utilities]]=1,12000,0))/IF(Granger_Inventory[[#This Row],[unbuildable]]=1,2,1)</f>
        <v>21427.618862498482</v>
      </c>
      <c r="BX412" s="8">
        <f>Granger_Inventory[[#This Row],[pre_res]]*Granger_Inventory[[#This Row],[overall_adj]]</f>
        <v>156700.24004778208</v>
      </c>
      <c r="BY41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2">
        <f>ROUND(Granger_Inventory[[#This Row],[detatched_value]]*Lookups!$I$45,-2)</f>
        <v>0</v>
      </c>
      <c r="CA412">
        <f>IF(ROUND(Granger_Inventory[[#This Row],[adj_res]]*Lookups!$I$45,-2)&lt;Granger_Inventory[[#This Row],[min_res]],Granger_Inventory[[#This Row],[min_res]],ROUND(Granger_Inventory[[#This Row],[adj_res]]*Lookups!$I$45,-2))</f>
        <v>148900</v>
      </c>
      <c r="CB412">
        <f>Granger_Inventory[[#This Row],[final_det]]+Granger_Inventory[[#This Row],[final_res]]</f>
        <v>148900</v>
      </c>
      <c r="CC412">
        <f>Granger_Inventory[[#This Row],[final_land]]+Granger_Inventory[[#This Row],[final_imp]]+Granger_Inventory[[#This Row],[crop_value]]</f>
        <v>169300</v>
      </c>
      <c r="CE412" t="str">
        <f t="shared" si="6"/>
        <v>update valuation set market_land =20400, market_bldg=148900, market_total =169300, market_mdno =402, market_date ='9/10/2023' where link_id = (select link_id from parcel where parcel_year = '2024' and parcel_id = '21102114449');</v>
      </c>
    </row>
    <row r="413" spans="1:83" x14ac:dyDescent="0.25">
      <c r="A413">
        <v>21102114450</v>
      </c>
      <c r="B413">
        <v>0.16</v>
      </c>
      <c r="C413" t="s">
        <v>137</v>
      </c>
      <c r="D413" t="s">
        <v>137</v>
      </c>
      <c r="E413" t="s">
        <v>54</v>
      </c>
      <c r="F413" t="s">
        <v>54</v>
      </c>
      <c r="G413">
        <v>3</v>
      </c>
      <c r="H413" t="s">
        <v>55</v>
      </c>
      <c r="I413">
        <v>244300</v>
      </c>
      <c r="J413">
        <v>25000</v>
      </c>
      <c r="K413">
        <v>0.16</v>
      </c>
      <c r="L413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3">
        <v>0</v>
      </c>
      <c r="N413">
        <v>0</v>
      </c>
      <c r="O413">
        <v>0</v>
      </c>
      <c r="P413">
        <v>47108.068500000001</v>
      </c>
      <c r="Q413">
        <v>122298</v>
      </c>
      <c r="R413">
        <f>(Granger_Inventory[[#This Row],[ln_acres]]*Granger_Inventory[[#This Row],[coeff]])+Granger_Inventory[[#This Row],[const]]</f>
        <v>35968.626873914327</v>
      </c>
      <c r="S413" t="s">
        <v>80</v>
      </c>
      <c r="T413">
        <v>2</v>
      </c>
      <c r="U413" t="s">
        <v>71</v>
      </c>
      <c r="V413" t="s">
        <v>77</v>
      </c>
      <c r="W413">
        <v>0</v>
      </c>
      <c r="X413">
        <v>0</v>
      </c>
      <c r="Y413">
        <v>51</v>
      </c>
      <c r="Z413">
        <v>113</v>
      </c>
      <c r="AA413">
        <v>120</v>
      </c>
      <c r="AB413">
        <v>2500</v>
      </c>
      <c r="AC413">
        <v>2040</v>
      </c>
      <c r="AD413">
        <v>1224</v>
      </c>
      <c r="AE413">
        <v>816</v>
      </c>
      <c r="AF413">
        <v>0</v>
      </c>
      <c r="AG413">
        <v>0</v>
      </c>
      <c r="AH413">
        <v>408</v>
      </c>
      <c r="AI413">
        <v>0</v>
      </c>
      <c r="AJ413">
        <v>0</v>
      </c>
      <c r="AK413">
        <v>0</v>
      </c>
      <c r="AL413">
        <v>168</v>
      </c>
      <c r="AM413">
        <v>72</v>
      </c>
      <c r="AN413">
        <v>0</v>
      </c>
      <c r="AO413">
        <v>240</v>
      </c>
      <c r="AP413">
        <v>8</v>
      </c>
      <c r="AQ413">
        <v>0</v>
      </c>
      <c r="AR413">
        <v>0</v>
      </c>
      <c r="AS413" t="s">
        <v>59</v>
      </c>
      <c r="AT413">
        <v>1</v>
      </c>
      <c r="AU413" t="s">
        <v>60</v>
      </c>
      <c r="AV413" t="s">
        <v>61</v>
      </c>
      <c r="AW413">
        <v>0</v>
      </c>
      <c r="AX413">
        <v>6</v>
      </c>
      <c r="AY413">
        <v>0</v>
      </c>
      <c r="AZ413">
        <v>17900</v>
      </c>
      <c r="BA413">
        <v>100</v>
      </c>
      <c r="BB413">
        <v>100</v>
      </c>
      <c r="BC413">
        <v>100</v>
      </c>
      <c r="BD413">
        <v>100</v>
      </c>
      <c r="BE413">
        <v>1</v>
      </c>
      <c r="BF413">
        <v>15000</v>
      </c>
      <c r="BG413">
        <v>1000</v>
      </c>
      <c r="BH413" s="8">
        <f>Granger_Inventory[[#This Row],[land_extract]]*Lookups!$B$3</f>
        <v>21427.618862498482</v>
      </c>
      <c r="BI413" s="8">
        <f>IF(Granger_Inventory[[#This Row],[bldg_style]]="",0,Lookups!$B$2)</f>
        <v>29703.559000000001</v>
      </c>
      <c r="BJ413" s="8">
        <f>_xlfn.IFNA(VLOOKUP(Granger_Inventory[[#This Row],[quality]],Lookups!$H$2:$J$14,3,FALSE),0)</f>
        <v>34195</v>
      </c>
      <c r="BK413" s="8">
        <f>_xlfn.IFNA(VLOOKUP(Granger_Inventory[[#This Row],[condition]],Lookups!$H$17:$J$24,3,FALSE),0)</f>
        <v>33736</v>
      </c>
      <c r="BL413" s="8">
        <f>Granger_Inventory[[#This Row],[Age]]*Lookups!$B$16</f>
        <v>-23428.4143</v>
      </c>
      <c r="BM413" s="8">
        <f>Granger_Inventory[[#This Row],[living_area]]*Lookups!$B$17</f>
        <v>137236.73436</v>
      </c>
      <c r="BN413" s="8">
        <f>(Granger_Inventory[[#This Row],[att_gar]]+Granger_Inventory[[#This Row],[blt_gar]])*Lookups!$B$18</f>
        <v>0</v>
      </c>
      <c r="BO413" s="8">
        <f>Granger_Inventory[[#This Row],[Patio]]*Lookups!$B$19</f>
        <v>3910.6869119999997</v>
      </c>
      <c r="BP413" s="8">
        <f>SUM(Granger_Inventory[[#This Row],[Intercept]:[Patio_Value]])*Granger_Inventory[[#This Row],[res_pct]]</f>
        <v>215353.56597200001</v>
      </c>
      <c r="BQ413" s="8">
        <f>Granger_Inventory[[#This Row],[land_value]]</f>
        <v>21427.618862498482</v>
      </c>
      <c r="BR413" s="4">
        <f>_xlfn.IFNA(VLOOKUP(Granger_Inventory[[#This Row],[quality]],Lookups!$A$25:$C$35,3,FALSE),1)</f>
        <v>0.98258795897788032</v>
      </c>
      <c r="BS413" s="4">
        <f>_xlfn.IFNA(VLOOKUP(Granger_Inventory[[#This Row],[condition]],Lookups!$A$38:$C$45,3,FALSE),1)</f>
        <v>0.92294678898076177</v>
      </c>
      <c r="BT413" s="4">
        <f>IF(Granger_Inventory[[#This Row],[decade]]="",1,_xlfn.IFNA(VLOOKUP(Granger_Inventory[[#This Row],[decade]],Lookups!$G$28:$I$42,3,FALSE),1))</f>
        <v>0.879441629375324</v>
      </c>
      <c r="BU413" s="4">
        <f>_xlfn.IFNA(VLOOKUP(Granger_Inventory[[#This Row],[living_area_range]],Lookups!$A$48:$C$57,3,FALSE),1)</f>
        <v>1.0000039906678986</v>
      </c>
      <c r="BV413" s="4">
        <f>AVERAGE(Granger_Inventory[[#This Row],[qual_adj]:[living_range_adj]])</f>
        <v>0.94624509200046614</v>
      </c>
      <c r="BW413" s="8">
        <f>(Granger_Inventory[[#This Row],[sum_land]]-IF(Granger_Inventory[[#This Row],[no_utilities]]=1,12000,0))/IF(Granger_Inventory[[#This Row],[unbuildable]]=1,2,1)</f>
        <v>21427.618862498482</v>
      </c>
      <c r="BX413" s="8">
        <f>Granger_Inventory[[#This Row],[pre_res]]*Granger_Inventory[[#This Row],[overall_adj]]</f>
        <v>203777.2548458036</v>
      </c>
      <c r="BY413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3">
        <f>ROUND(Granger_Inventory[[#This Row],[detatched_value]]*Lookups!$I$45,-2)</f>
        <v>17000</v>
      </c>
      <c r="CA413">
        <f>IF(ROUND(Granger_Inventory[[#This Row],[adj_res]]*Lookups!$I$45,-2)&lt;Granger_Inventory[[#This Row],[min_res]],Granger_Inventory[[#This Row],[min_res]],ROUND(Granger_Inventory[[#This Row],[adj_res]]*Lookups!$I$45,-2))</f>
        <v>193600</v>
      </c>
      <c r="CB413">
        <f>Granger_Inventory[[#This Row],[final_det]]+Granger_Inventory[[#This Row],[final_res]]</f>
        <v>210600</v>
      </c>
      <c r="CC413">
        <f>Granger_Inventory[[#This Row],[final_land]]+Granger_Inventory[[#This Row],[final_imp]]+Granger_Inventory[[#This Row],[crop_value]]</f>
        <v>231000</v>
      </c>
      <c r="CE413" t="str">
        <f t="shared" si="6"/>
        <v>update valuation set market_land =20400, market_bldg=210600, market_total =231000, market_mdno =402, market_date ='9/10/2023' where link_id = (select link_id from parcel where parcel_year = '2024' and parcel_id = '21102114450');</v>
      </c>
    </row>
    <row r="414" spans="1:83" x14ac:dyDescent="0.25">
      <c r="A414">
        <v>21102114452</v>
      </c>
      <c r="B414">
        <v>0.32</v>
      </c>
      <c r="C414">
        <v>14000</v>
      </c>
      <c r="D414" t="s">
        <v>137</v>
      </c>
      <c r="E414" t="s">
        <v>54</v>
      </c>
      <c r="F414" t="s">
        <v>54</v>
      </c>
      <c r="G414">
        <v>3</v>
      </c>
      <c r="H414" t="s">
        <v>55</v>
      </c>
      <c r="I414">
        <v>118700</v>
      </c>
      <c r="J414">
        <v>28800</v>
      </c>
      <c r="K414">
        <v>0.32</v>
      </c>
      <c r="L414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414">
        <v>0</v>
      </c>
      <c r="N414">
        <v>0</v>
      </c>
      <c r="O414">
        <v>0</v>
      </c>
      <c r="P414">
        <v>47108.068500000001</v>
      </c>
      <c r="Q414">
        <v>122298</v>
      </c>
      <c r="R414">
        <f>(Granger_Inventory[[#This Row],[ln_acres]]*Granger_Inventory[[#This Row],[coeff]])+Granger_Inventory[[#This Row],[const]]</f>
        <v>68621.451736314106</v>
      </c>
      <c r="S414" t="s">
        <v>56</v>
      </c>
      <c r="T414">
        <v>1</v>
      </c>
      <c r="U414" t="s">
        <v>71</v>
      </c>
      <c r="V414" t="s">
        <v>77</v>
      </c>
      <c r="W414">
        <v>0</v>
      </c>
      <c r="X414">
        <v>0</v>
      </c>
      <c r="Y414">
        <v>47</v>
      </c>
      <c r="Z414">
        <v>57</v>
      </c>
      <c r="AA414">
        <v>60</v>
      </c>
      <c r="AB414">
        <v>1500</v>
      </c>
      <c r="AC414">
        <v>1332</v>
      </c>
      <c r="AD414">
        <v>1332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900</v>
      </c>
      <c r="AL414">
        <v>0</v>
      </c>
      <c r="AM414">
        <v>0</v>
      </c>
      <c r="AN414">
        <v>48</v>
      </c>
      <c r="AO414">
        <v>0</v>
      </c>
      <c r="AP414">
        <v>5</v>
      </c>
      <c r="AQ414">
        <v>0</v>
      </c>
      <c r="AR414">
        <v>1</v>
      </c>
      <c r="AS414" t="s">
        <v>139</v>
      </c>
      <c r="AT414">
        <v>1</v>
      </c>
      <c r="AU414" t="s">
        <v>60</v>
      </c>
      <c r="AV414" t="s">
        <v>61</v>
      </c>
      <c r="AW414">
        <v>0</v>
      </c>
      <c r="AX414">
        <v>3</v>
      </c>
      <c r="AY414">
        <v>0</v>
      </c>
      <c r="AZ414">
        <v>7400</v>
      </c>
      <c r="BA414">
        <v>100</v>
      </c>
      <c r="BB414">
        <v>100</v>
      </c>
      <c r="BC414">
        <v>100</v>
      </c>
      <c r="BD414">
        <v>100</v>
      </c>
      <c r="BE414">
        <v>1</v>
      </c>
      <c r="BF414">
        <v>15000</v>
      </c>
      <c r="BG414">
        <v>1000</v>
      </c>
      <c r="BH414" s="8">
        <f>Granger_Inventory[[#This Row],[land_extract]]*Lookups!$B$3</f>
        <v>40879.912340035793</v>
      </c>
      <c r="BI414" s="8">
        <f>IF(Granger_Inventory[[#This Row],[bldg_style]]="",0,Lookups!$B$2)</f>
        <v>29703.559000000001</v>
      </c>
      <c r="BJ414" s="8">
        <f>_xlfn.IFNA(VLOOKUP(Granger_Inventory[[#This Row],[quality]],Lookups!$H$2:$J$14,3,FALSE),0)</f>
        <v>34195</v>
      </c>
      <c r="BK414" s="8">
        <f>_xlfn.IFNA(VLOOKUP(Granger_Inventory[[#This Row],[condition]],Lookups!$H$17:$J$24,3,FALSE),0)</f>
        <v>33736</v>
      </c>
      <c r="BL414" s="8">
        <f>Granger_Inventory[[#This Row],[Age]]*Lookups!$B$16</f>
        <v>-11817.8727</v>
      </c>
      <c r="BM414" s="8">
        <f>Granger_Inventory[[#This Row],[living_area]]*Lookups!$B$17</f>
        <v>89607.514788</v>
      </c>
      <c r="BN414" s="8">
        <f>(Granger_Inventory[[#This Row],[att_gar]]+Granger_Inventory[[#This Row],[blt_gar]])*Lookups!$B$18</f>
        <v>0</v>
      </c>
      <c r="BO414" s="8">
        <f>Granger_Inventory[[#This Row],[Patio]]*Lookups!$B$19</f>
        <v>0</v>
      </c>
      <c r="BP414" s="8">
        <f>SUM(Granger_Inventory[[#This Row],[Intercept]:[Patio_Value]])*Granger_Inventory[[#This Row],[res_pct]]</f>
        <v>175424.201088</v>
      </c>
      <c r="BQ414" s="8">
        <f>Granger_Inventory[[#This Row],[land_value]]</f>
        <v>40879.912340035793</v>
      </c>
      <c r="BR414" s="4">
        <f>_xlfn.IFNA(VLOOKUP(Granger_Inventory[[#This Row],[quality]],Lookups!$A$25:$C$35,3,FALSE),1)</f>
        <v>0.98258795897788032</v>
      </c>
      <c r="BS414" s="4">
        <f>_xlfn.IFNA(VLOOKUP(Granger_Inventory[[#This Row],[condition]],Lookups!$A$38:$C$45,3,FALSE),1)</f>
        <v>0.92294678898076177</v>
      </c>
      <c r="BT414" s="4">
        <f>IF(Granger_Inventory[[#This Row],[decade]]="",1,_xlfn.IFNA(VLOOKUP(Granger_Inventory[[#This Row],[decade]],Lookups!$G$28:$I$42,3,FALSE),1))</f>
        <v>0.86581421791274704</v>
      </c>
      <c r="BU414" s="4">
        <f>_xlfn.IFNA(VLOOKUP(Granger_Inventory[[#This Row],[living_area_range]],Lookups!$A$48:$C$57,3,FALSE),1)</f>
        <v>0.97960506760539345</v>
      </c>
      <c r="BV414" s="4">
        <f>AVERAGE(Granger_Inventory[[#This Row],[qual_adj]:[living_range_adj]])</f>
        <v>0.93773850836919559</v>
      </c>
      <c r="BW414" s="8">
        <f>(Granger_Inventory[[#This Row],[sum_land]]-IF(Granger_Inventory[[#This Row],[no_utilities]]=1,12000,0))/IF(Granger_Inventory[[#This Row],[unbuildable]]=1,2,1)</f>
        <v>40879.912340035793</v>
      </c>
      <c r="BX414" s="8">
        <f>Granger_Inventory[[#This Row],[pre_res]]*Granger_Inventory[[#This Row],[overall_adj]]</f>
        <v>164502.02866011893</v>
      </c>
      <c r="BY414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414">
        <f>ROUND(Granger_Inventory[[#This Row],[detatched_value]]*Lookups!$I$45,-2)</f>
        <v>7000</v>
      </c>
      <c r="CA414">
        <f>IF(ROUND(Granger_Inventory[[#This Row],[adj_res]]*Lookups!$I$45,-2)&lt;Granger_Inventory[[#This Row],[min_res]],Granger_Inventory[[#This Row],[min_res]],ROUND(Granger_Inventory[[#This Row],[adj_res]]*Lookups!$I$45,-2))</f>
        <v>156300</v>
      </c>
      <c r="CB414">
        <f>Granger_Inventory[[#This Row],[final_det]]+Granger_Inventory[[#This Row],[final_res]]</f>
        <v>163300</v>
      </c>
      <c r="CC414">
        <f>Granger_Inventory[[#This Row],[final_land]]+Granger_Inventory[[#This Row],[final_imp]]+Granger_Inventory[[#This Row],[crop_value]]</f>
        <v>202100</v>
      </c>
      <c r="CE414" t="str">
        <f t="shared" si="6"/>
        <v>update valuation set market_land =38800, market_bldg=163300, market_total =202100, market_mdno =402, market_date ='9/10/2023' where link_id = (select link_id from parcel where parcel_year = '2024' and parcel_id = '21102114452');</v>
      </c>
    </row>
    <row r="415" spans="1:83" x14ac:dyDescent="0.25">
      <c r="A415">
        <v>21102114461</v>
      </c>
      <c r="B415">
        <v>0.19</v>
      </c>
      <c r="C415">
        <v>8189</v>
      </c>
      <c r="D415" t="s">
        <v>137</v>
      </c>
      <c r="E415" t="s">
        <v>54</v>
      </c>
      <c r="F415" t="s">
        <v>54</v>
      </c>
      <c r="G415">
        <v>3</v>
      </c>
      <c r="H415" t="s">
        <v>55</v>
      </c>
      <c r="I415">
        <v>58500</v>
      </c>
      <c r="J415">
        <v>25900</v>
      </c>
      <c r="K415">
        <v>0.19</v>
      </c>
      <c r="L415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15">
        <v>0</v>
      </c>
      <c r="N415">
        <v>0</v>
      </c>
      <c r="O415">
        <v>0</v>
      </c>
      <c r="P415">
        <v>47108.068500000001</v>
      </c>
      <c r="Q415">
        <v>122298</v>
      </c>
      <c r="R415">
        <f>(Granger_Inventory[[#This Row],[ln_acres]]*Granger_Inventory[[#This Row],[coeff]])+Granger_Inventory[[#This Row],[const]]</f>
        <v>44064.160548957996</v>
      </c>
      <c r="S415" t="s">
        <v>69</v>
      </c>
      <c r="T415">
        <v>1</v>
      </c>
      <c r="U415" t="s">
        <v>78</v>
      </c>
      <c r="V415" t="s">
        <v>79</v>
      </c>
      <c r="W415">
        <v>0</v>
      </c>
      <c r="X415">
        <v>0</v>
      </c>
      <c r="Y415">
        <v>55</v>
      </c>
      <c r="Z415">
        <v>98</v>
      </c>
      <c r="AA415">
        <v>100</v>
      </c>
      <c r="AB415">
        <v>1500</v>
      </c>
      <c r="AC415">
        <v>1176</v>
      </c>
      <c r="AD415">
        <v>1176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5</v>
      </c>
      <c r="AQ415">
        <v>0</v>
      </c>
      <c r="AR415">
        <v>0</v>
      </c>
      <c r="AS415" t="s">
        <v>59</v>
      </c>
      <c r="AT415">
        <v>0</v>
      </c>
      <c r="AU415" t="s">
        <v>83</v>
      </c>
      <c r="AV415" t="s">
        <v>61</v>
      </c>
      <c r="AW415">
        <v>0</v>
      </c>
      <c r="AX415">
        <v>2</v>
      </c>
      <c r="AY415">
        <v>0</v>
      </c>
      <c r="AZ415">
        <v>0</v>
      </c>
      <c r="BA415">
        <v>100</v>
      </c>
      <c r="BB415">
        <v>100</v>
      </c>
      <c r="BC415">
        <v>100</v>
      </c>
      <c r="BD415">
        <v>100</v>
      </c>
      <c r="BE415">
        <v>1</v>
      </c>
      <c r="BF415">
        <v>15000</v>
      </c>
      <c r="BG415">
        <v>1000</v>
      </c>
      <c r="BH415" s="8">
        <f>Granger_Inventory[[#This Row],[land_extract]]*Lookups!$B$3</f>
        <v>26250.377615159185</v>
      </c>
      <c r="BI415" s="8">
        <f>IF(Granger_Inventory[[#This Row],[bldg_style]]="",0,Lookups!$B$2)</f>
        <v>29703.559000000001</v>
      </c>
      <c r="BJ415" s="8">
        <f>_xlfn.IFNA(VLOOKUP(Granger_Inventory[[#This Row],[quality]],Lookups!$H$2:$J$14,3,FALSE),0)</f>
        <v>23737.786340274597</v>
      </c>
      <c r="BK415" s="8">
        <f>_xlfn.IFNA(VLOOKUP(Granger_Inventory[[#This Row],[condition]],Lookups!$H$17:$J$24,3,FALSE),0)</f>
        <v>86727</v>
      </c>
      <c r="BL415" s="8">
        <f>Granger_Inventory[[#This Row],[Age]]*Lookups!$B$16</f>
        <v>-20318.447799999998</v>
      </c>
      <c r="BM415" s="8">
        <f>Granger_Inventory[[#This Row],[living_area]]*Lookups!$B$17</f>
        <v>79112.940984000001</v>
      </c>
      <c r="BN415" s="8">
        <f>(Granger_Inventory[[#This Row],[att_gar]]+Granger_Inventory[[#This Row],[blt_gar]])*Lookups!$B$18</f>
        <v>0</v>
      </c>
      <c r="BO415" s="8">
        <f>Granger_Inventory[[#This Row],[Patio]]*Lookups!$B$19</f>
        <v>0</v>
      </c>
      <c r="BP415" s="8">
        <f>SUM(Granger_Inventory[[#This Row],[Intercept]:[Patio_Value]])*Granger_Inventory[[#This Row],[res_pct]]</f>
        <v>198962.83852427459</v>
      </c>
      <c r="BQ415" s="8">
        <f>Granger_Inventory[[#This Row],[land_value]]</f>
        <v>26250.377615159185</v>
      </c>
      <c r="BR415" s="4">
        <f>_xlfn.IFNA(VLOOKUP(Granger_Inventory[[#This Row],[quality]],Lookups!$A$25:$C$35,3,FALSE),1)</f>
        <v>0.77695375541795109</v>
      </c>
      <c r="BS415" s="4">
        <f>_xlfn.IFNA(VLOOKUP(Granger_Inventory[[#This Row],[condition]],Lookups!$A$38:$C$45,3,FALSE),1)</f>
        <v>0.85322907131620684</v>
      </c>
      <c r="BT415" s="4">
        <f>IF(Granger_Inventory[[#This Row],[decade]]="",1,_xlfn.IFNA(VLOOKUP(Granger_Inventory[[#This Row],[decade]],Lookups!$G$28:$I$42,3,FALSE),1))</f>
        <v>0.879441629375324</v>
      </c>
      <c r="BU415" s="4">
        <f>_xlfn.IFNA(VLOOKUP(Granger_Inventory[[#This Row],[living_area_range]],Lookups!$A$48:$C$57,3,FALSE),1)</f>
        <v>0.97960506760539345</v>
      </c>
      <c r="BV415" s="4">
        <f>AVERAGE(Granger_Inventory[[#This Row],[qual_adj]:[living_range_adj]])</f>
        <v>0.87230738092871896</v>
      </c>
      <c r="BW415" s="8">
        <f>(Granger_Inventory[[#This Row],[sum_land]]-IF(Granger_Inventory[[#This Row],[no_utilities]]=1,12000,0))/IF(Granger_Inventory[[#This Row],[unbuildable]]=1,2,1)</f>
        <v>26250.377615159185</v>
      </c>
      <c r="BX415" s="8">
        <f>Granger_Inventory[[#This Row],[pre_res]]*Granger_Inventory[[#This Row],[overall_adj]]</f>
        <v>173556.7525752536</v>
      </c>
      <c r="BY415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15">
        <f>ROUND(Granger_Inventory[[#This Row],[detatched_value]]*Lookups!$I$45,-2)</f>
        <v>0</v>
      </c>
      <c r="CA415">
        <f>IF(ROUND(Granger_Inventory[[#This Row],[adj_res]]*Lookups!$I$45,-2)&lt;Granger_Inventory[[#This Row],[min_res]],Granger_Inventory[[#This Row],[min_res]],ROUND(Granger_Inventory[[#This Row],[adj_res]]*Lookups!$I$45,-2))</f>
        <v>164900</v>
      </c>
      <c r="CB415">
        <f>Granger_Inventory[[#This Row],[final_det]]+Granger_Inventory[[#This Row],[final_res]]</f>
        <v>164900</v>
      </c>
      <c r="CC415">
        <f>Granger_Inventory[[#This Row],[final_land]]+Granger_Inventory[[#This Row],[final_imp]]+Granger_Inventory[[#This Row],[crop_value]]</f>
        <v>189800</v>
      </c>
      <c r="CE415" t="str">
        <f t="shared" si="6"/>
        <v>update valuation set market_land =24900, market_bldg=164900, market_total =189800, market_mdno =402, market_date ='9/10/2023' where link_id = (select link_id from parcel where parcel_year = '2024' and parcel_id = '21102114461');</v>
      </c>
    </row>
    <row r="416" spans="1:83" x14ac:dyDescent="0.25">
      <c r="A416">
        <v>21102114464</v>
      </c>
      <c r="B416">
        <v>0.16</v>
      </c>
      <c r="C416">
        <v>7001</v>
      </c>
      <c r="D416" t="s">
        <v>137</v>
      </c>
      <c r="E416" t="s">
        <v>54</v>
      </c>
      <c r="F416" t="s">
        <v>54</v>
      </c>
      <c r="G416">
        <v>3</v>
      </c>
      <c r="H416" t="s">
        <v>55</v>
      </c>
      <c r="I416">
        <v>138900</v>
      </c>
      <c r="J416">
        <v>25000</v>
      </c>
      <c r="K416">
        <v>0.16</v>
      </c>
      <c r="L41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6">
        <v>0</v>
      </c>
      <c r="N416">
        <v>0</v>
      </c>
      <c r="O416">
        <v>0</v>
      </c>
      <c r="P416">
        <v>47108.068500000001</v>
      </c>
      <c r="Q416">
        <v>122298</v>
      </c>
      <c r="R416">
        <f>(Granger_Inventory[[#This Row],[ln_acres]]*Granger_Inventory[[#This Row],[coeff]])+Granger_Inventory[[#This Row],[const]]</f>
        <v>35968.626873914327</v>
      </c>
      <c r="S416" t="s">
        <v>56</v>
      </c>
      <c r="T416">
        <v>1</v>
      </c>
      <c r="U416" t="s">
        <v>71</v>
      </c>
      <c r="V416" t="s">
        <v>77</v>
      </c>
      <c r="W416">
        <v>0</v>
      </c>
      <c r="X416">
        <v>0</v>
      </c>
      <c r="Y416">
        <v>46</v>
      </c>
      <c r="Z416">
        <v>53</v>
      </c>
      <c r="AA416">
        <v>60</v>
      </c>
      <c r="AB416">
        <v>1500</v>
      </c>
      <c r="AC416">
        <v>1404</v>
      </c>
      <c r="AD416">
        <v>1404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390</v>
      </c>
      <c r="AO416">
        <v>0</v>
      </c>
      <c r="AP416">
        <v>5</v>
      </c>
      <c r="AQ416">
        <v>0</v>
      </c>
      <c r="AR416">
        <v>0</v>
      </c>
      <c r="AS416" t="s">
        <v>59</v>
      </c>
      <c r="AT416">
        <v>1</v>
      </c>
      <c r="AU416" t="s">
        <v>60</v>
      </c>
      <c r="AV416" t="s">
        <v>65</v>
      </c>
      <c r="AW416">
        <v>0</v>
      </c>
      <c r="AX416">
        <v>4</v>
      </c>
      <c r="AY416">
        <v>0</v>
      </c>
      <c r="AZ416">
        <v>0</v>
      </c>
      <c r="BA416">
        <v>100</v>
      </c>
      <c r="BB416">
        <v>100</v>
      </c>
      <c r="BC416">
        <v>100</v>
      </c>
      <c r="BD416">
        <v>100</v>
      </c>
      <c r="BE416">
        <v>1</v>
      </c>
      <c r="BF416">
        <v>15000</v>
      </c>
      <c r="BG416">
        <v>1000</v>
      </c>
      <c r="BH416" s="8">
        <f>Granger_Inventory[[#This Row],[land_extract]]*Lookups!$B$3</f>
        <v>21427.618862498482</v>
      </c>
      <c r="BI416" s="8">
        <f>IF(Granger_Inventory[[#This Row],[bldg_style]]="",0,Lookups!$B$2)</f>
        <v>29703.559000000001</v>
      </c>
      <c r="BJ416" s="8">
        <f>_xlfn.IFNA(VLOOKUP(Granger_Inventory[[#This Row],[quality]],Lookups!$H$2:$J$14,3,FALSE),0)</f>
        <v>34195</v>
      </c>
      <c r="BK416" s="8">
        <f>_xlfn.IFNA(VLOOKUP(Granger_Inventory[[#This Row],[condition]],Lookups!$H$17:$J$24,3,FALSE),0)</f>
        <v>33736</v>
      </c>
      <c r="BL416" s="8">
        <f>Granger_Inventory[[#This Row],[Age]]*Lookups!$B$16</f>
        <v>-10988.5483</v>
      </c>
      <c r="BM416" s="8">
        <f>Granger_Inventory[[#This Row],[living_area]]*Lookups!$B$17</f>
        <v>94451.164235999997</v>
      </c>
      <c r="BN416" s="8">
        <f>(Granger_Inventory[[#This Row],[att_gar]]+Granger_Inventory[[#This Row],[blt_gar]])*Lookups!$B$18</f>
        <v>0</v>
      </c>
      <c r="BO416" s="8">
        <f>Granger_Inventory[[#This Row],[Patio]]*Lookups!$B$19</f>
        <v>0</v>
      </c>
      <c r="BP416" s="8">
        <f>SUM(Granger_Inventory[[#This Row],[Intercept]:[Patio_Value]])*Granger_Inventory[[#This Row],[res_pct]]</f>
        <v>181097.17493600002</v>
      </c>
      <c r="BQ416" s="8">
        <f>Granger_Inventory[[#This Row],[land_value]]</f>
        <v>21427.618862498482</v>
      </c>
      <c r="BR416" s="4">
        <f>_xlfn.IFNA(VLOOKUP(Granger_Inventory[[#This Row],[quality]],Lookups!$A$25:$C$35,3,FALSE),1)</f>
        <v>0.98258795897788032</v>
      </c>
      <c r="BS416" s="4">
        <f>_xlfn.IFNA(VLOOKUP(Granger_Inventory[[#This Row],[condition]],Lookups!$A$38:$C$45,3,FALSE),1)</f>
        <v>0.92294678898076177</v>
      </c>
      <c r="BT416" s="4">
        <f>IF(Granger_Inventory[[#This Row],[decade]]="",1,_xlfn.IFNA(VLOOKUP(Granger_Inventory[[#This Row],[decade]],Lookups!$G$28:$I$42,3,FALSE),1))</f>
        <v>0.86581421791274704</v>
      </c>
      <c r="BU416" s="4">
        <f>_xlfn.IFNA(VLOOKUP(Granger_Inventory[[#This Row],[living_area_range]],Lookups!$A$48:$C$57,3,FALSE),1)</f>
        <v>0.97960506760539345</v>
      </c>
      <c r="BV416" s="4">
        <f>AVERAGE(Granger_Inventory[[#This Row],[qual_adj]:[living_range_adj]])</f>
        <v>0.93773850836919559</v>
      </c>
      <c r="BW416" s="8">
        <f>(Granger_Inventory[[#This Row],[sum_land]]-IF(Granger_Inventory[[#This Row],[no_utilities]]=1,12000,0))/IF(Granger_Inventory[[#This Row],[unbuildable]]=1,2,1)</f>
        <v>21427.618862498482</v>
      </c>
      <c r="BX416" s="8">
        <f>Granger_Inventory[[#This Row],[pre_res]]*Granger_Inventory[[#This Row],[overall_adj]]</f>
        <v>169821.79469435994</v>
      </c>
      <c r="BY41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6">
        <f>ROUND(Granger_Inventory[[#This Row],[detatched_value]]*Lookups!$I$45,-2)</f>
        <v>0</v>
      </c>
      <c r="CA416">
        <f>IF(ROUND(Granger_Inventory[[#This Row],[adj_res]]*Lookups!$I$45,-2)&lt;Granger_Inventory[[#This Row],[min_res]],Granger_Inventory[[#This Row],[min_res]],ROUND(Granger_Inventory[[#This Row],[adj_res]]*Lookups!$I$45,-2))</f>
        <v>161300</v>
      </c>
      <c r="CB416">
        <f>Granger_Inventory[[#This Row],[final_det]]+Granger_Inventory[[#This Row],[final_res]]</f>
        <v>161300</v>
      </c>
      <c r="CC416">
        <f>Granger_Inventory[[#This Row],[final_land]]+Granger_Inventory[[#This Row],[final_imp]]+Granger_Inventory[[#This Row],[crop_value]]</f>
        <v>181700</v>
      </c>
      <c r="CE416" t="str">
        <f t="shared" si="6"/>
        <v>update valuation set market_land =20400, market_bldg=161300, market_total =181700, market_mdno =402, market_date ='9/10/2023' where link_id = (select link_id from parcel where parcel_year = '2024' and parcel_id = '21102114464');</v>
      </c>
    </row>
    <row r="417" spans="1:83" x14ac:dyDescent="0.25">
      <c r="A417">
        <v>21102114465</v>
      </c>
      <c r="B417">
        <v>0.16</v>
      </c>
      <c r="C417">
        <v>6999</v>
      </c>
      <c r="D417" t="s">
        <v>137</v>
      </c>
      <c r="E417" t="s">
        <v>54</v>
      </c>
      <c r="F417" t="s">
        <v>54</v>
      </c>
      <c r="G417">
        <v>3</v>
      </c>
      <c r="H417" t="s">
        <v>55</v>
      </c>
      <c r="I417">
        <v>228100</v>
      </c>
      <c r="J417">
        <v>25000</v>
      </c>
      <c r="K417">
        <v>0.16</v>
      </c>
      <c r="L417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7">
        <v>0</v>
      </c>
      <c r="N417">
        <v>0</v>
      </c>
      <c r="O417">
        <v>0</v>
      </c>
      <c r="P417">
        <v>47108.068500000001</v>
      </c>
      <c r="Q417">
        <v>122298</v>
      </c>
      <c r="R417">
        <f>(Granger_Inventory[[#This Row],[ln_acres]]*Granger_Inventory[[#This Row],[coeff]])+Granger_Inventory[[#This Row],[const]]</f>
        <v>35968.626873914327</v>
      </c>
      <c r="S417" t="s">
        <v>69</v>
      </c>
      <c r="T417">
        <v>1</v>
      </c>
      <c r="U417" t="s">
        <v>64</v>
      </c>
      <c r="V417" t="s">
        <v>58</v>
      </c>
      <c r="W417">
        <v>0</v>
      </c>
      <c r="X417">
        <v>0</v>
      </c>
      <c r="Y417">
        <v>11</v>
      </c>
      <c r="Z417">
        <v>11</v>
      </c>
      <c r="AA417">
        <v>20</v>
      </c>
      <c r="AB417">
        <v>2000</v>
      </c>
      <c r="AC417">
        <v>1624</v>
      </c>
      <c r="AD417">
        <v>1624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696</v>
      </c>
      <c r="AO417">
        <v>0</v>
      </c>
      <c r="AP417">
        <v>8</v>
      </c>
      <c r="AQ417">
        <v>0</v>
      </c>
      <c r="AR417">
        <v>0</v>
      </c>
      <c r="AS417" t="s">
        <v>59</v>
      </c>
      <c r="AT417">
        <v>1</v>
      </c>
      <c r="AU417" t="s">
        <v>60</v>
      </c>
      <c r="AV417" t="s">
        <v>65</v>
      </c>
      <c r="AW417">
        <v>1</v>
      </c>
      <c r="AX417">
        <v>3</v>
      </c>
      <c r="AY417">
        <v>0</v>
      </c>
      <c r="AZ417">
        <v>0</v>
      </c>
      <c r="BA417">
        <v>100</v>
      </c>
      <c r="BB417">
        <v>100</v>
      </c>
      <c r="BC417">
        <v>100</v>
      </c>
      <c r="BD417">
        <v>100</v>
      </c>
      <c r="BE417">
        <v>1</v>
      </c>
      <c r="BF417">
        <v>15000</v>
      </c>
      <c r="BG417">
        <v>1000</v>
      </c>
      <c r="BH417" s="8">
        <f>Granger_Inventory[[#This Row],[land_extract]]*Lookups!$B$3</f>
        <v>21427.618862498482</v>
      </c>
      <c r="BI417" s="8">
        <f>IF(Granger_Inventory[[#This Row],[bldg_style]]="",0,Lookups!$B$2)</f>
        <v>29703.559000000001</v>
      </c>
      <c r="BJ417" s="8">
        <f>_xlfn.IFNA(VLOOKUP(Granger_Inventory[[#This Row],[quality]],Lookups!$H$2:$J$14,3,FALSE),0)</f>
        <v>36568</v>
      </c>
      <c r="BK417" s="8">
        <f>_xlfn.IFNA(VLOOKUP(Granger_Inventory[[#This Row],[condition]],Lookups!$H$17:$J$24,3,FALSE),0)</f>
        <v>101774</v>
      </c>
      <c r="BL417" s="8">
        <f>Granger_Inventory[[#This Row],[Age]]*Lookups!$B$16</f>
        <v>-2280.6421</v>
      </c>
      <c r="BM417" s="8">
        <f>Granger_Inventory[[#This Row],[living_area]]*Lookups!$B$17</f>
        <v>109251.204216</v>
      </c>
      <c r="BN417" s="8">
        <f>(Granger_Inventory[[#This Row],[att_gar]]+Granger_Inventory[[#This Row],[blt_gar]])*Lookups!$B$18</f>
        <v>0</v>
      </c>
      <c r="BO417" s="8">
        <f>Granger_Inventory[[#This Row],[Patio]]*Lookups!$B$19</f>
        <v>0</v>
      </c>
      <c r="BP417" s="8">
        <f>SUM(Granger_Inventory[[#This Row],[Intercept]:[Patio_Value]])*Granger_Inventory[[#This Row],[res_pct]]</f>
        <v>275016.12111599999</v>
      </c>
      <c r="BQ417" s="8">
        <f>Granger_Inventory[[#This Row],[land_value]]</f>
        <v>21427.618862498482</v>
      </c>
      <c r="BR417" s="4">
        <f>_xlfn.IFNA(VLOOKUP(Granger_Inventory[[#This Row],[quality]],Lookups!$A$25:$C$35,3,FALSE),1)</f>
        <v>0.99049976351917957</v>
      </c>
      <c r="BS417" s="4">
        <f>_xlfn.IFNA(VLOOKUP(Granger_Inventory[[#This Row],[condition]],Lookups!$A$38:$C$45,3,FALSE),1)</f>
        <v>0.99135053432734199</v>
      </c>
      <c r="BT417" s="4">
        <f>IF(Granger_Inventory[[#This Row],[decade]]="",1,_xlfn.IFNA(VLOOKUP(Granger_Inventory[[#This Row],[decade]],Lookups!$G$28:$I$42,3,FALSE),1))</f>
        <v>1.0159161060824455</v>
      </c>
      <c r="BU417" s="4">
        <f>_xlfn.IFNA(VLOOKUP(Granger_Inventory[[#This Row],[living_area_range]],Lookups!$A$48:$C$57,3,FALSE),1)</f>
        <v>0.97860968051050168</v>
      </c>
      <c r="BV417" s="4">
        <f>AVERAGE(Granger_Inventory[[#This Row],[qual_adj]:[living_range_adj]])</f>
        <v>0.99409402110986722</v>
      </c>
      <c r="BW417" s="8">
        <f>(Granger_Inventory[[#This Row],[sum_land]]-IF(Granger_Inventory[[#This Row],[no_utilities]]=1,12000,0))/IF(Granger_Inventory[[#This Row],[unbuildable]]=1,2,1)</f>
        <v>21427.618862498482</v>
      </c>
      <c r="BX417" s="8">
        <f>Granger_Inventory[[#This Row],[pre_res]]*Granger_Inventory[[#This Row],[overall_adj]]</f>
        <v>273391.88171024271</v>
      </c>
      <c r="BY417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7">
        <f>ROUND(Granger_Inventory[[#This Row],[detatched_value]]*Lookups!$I$45,-2)</f>
        <v>0</v>
      </c>
      <c r="CA417">
        <f>IF(ROUND(Granger_Inventory[[#This Row],[adj_res]]*Lookups!$I$45,-2)&lt;Granger_Inventory[[#This Row],[min_res]],Granger_Inventory[[#This Row],[min_res]],ROUND(Granger_Inventory[[#This Row],[adj_res]]*Lookups!$I$45,-2))</f>
        <v>259700</v>
      </c>
      <c r="CB417">
        <f>Granger_Inventory[[#This Row],[final_det]]+Granger_Inventory[[#This Row],[final_res]]</f>
        <v>259700</v>
      </c>
      <c r="CC417">
        <f>Granger_Inventory[[#This Row],[final_land]]+Granger_Inventory[[#This Row],[final_imp]]+Granger_Inventory[[#This Row],[crop_value]]</f>
        <v>280100</v>
      </c>
      <c r="CE417" t="str">
        <f t="shared" si="6"/>
        <v>update valuation set market_land =20400, market_bldg=259700, market_total =280100, market_mdno =402, market_date ='9/10/2023' where link_id = (select link_id from parcel where parcel_year = '2024' and parcel_id = '21102114465');</v>
      </c>
    </row>
    <row r="418" spans="1:83" x14ac:dyDescent="0.25">
      <c r="A418">
        <v>21102114466</v>
      </c>
      <c r="B418">
        <v>0.16</v>
      </c>
      <c r="C418">
        <v>6999</v>
      </c>
      <c r="D418" t="s">
        <v>137</v>
      </c>
      <c r="E418" t="s">
        <v>54</v>
      </c>
      <c r="F418" t="s">
        <v>54</v>
      </c>
      <c r="G418">
        <v>3</v>
      </c>
      <c r="H418" t="s">
        <v>55</v>
      </c>
      <c r="I418">
        <v>114800</v>
      </c>
      <c r="J418">
        <v>25000</v>
      </c>
      <c r="K418">
        <v>0.16</v>
      </c>
      <c r="L41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18">
        <v>0</v>
      </c>
      <c r="N418">
        <v>0</v>
      </c>
      <c r="O418">
        <v>0</v>
      </c>
      <c r="P418">
        <v>47108.068500000001</v>
      </c>
      <c r="Q418">
        <v>122298</v>
      </c>
      <c r="R418">
        <f>(Granger_Inventory[[#This Row],[ln_acres]]*Granger_Inventory[[#This Row],[coeff]])+Granger_Inventory[[#This Row],[const]]</f>
        <v>35968.626873914327</v>
      </c>
      <c r="S418" t="s">
        <v>69</v>
      </c>
      <c r="T418">
        <v>1</v>
      </c>
      <c r="U418" t="s">
        <v>78</v>
      </c>
      <c r="V418" t="s">
        <v>77</v>
      </c>
      <c r="W418">
        <v>0</v>
      </c>
      <c r="X418">
        <v>0</v>
      </c>
      <c r="Y418">
        <v>57</v>
      </c>
      <c r="Z418">
        <v>98</v>
      </c>
      <c r="AA418">
        <v>100</v>
      </c>
      <c r="AB418">
        <v>1500</v>
      </c>
      <c r="AC418">
        <v>1276</v>
      </c>
      <c r="AD418">
        <v>1276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240</v>
      </c>
      <c r="AL418">
        <v>0</v>
      </c>
      <c r="AM418">
        <v>0</v>
      </c>
      <c r="AN418">
        <v>140</v>
      </c>
      <c r="AO418">
        <v>0</v>
      </c>
      <c r="AP418">
        <v>5</v>
      </c>
      <c r="AQ418">
        <v>0</v>
      </c>
      <c r="AR418">
        <v>0</v>
      </c>
      <c r="AS418" t="s">
        <v>81</v>
      </c>
      <c r="AT418">
        <v>0</v>
      </c>
      <c r="AU418" t="s">
        <v>83</v>
      </c>
      <c r="AV418" t="s">
        <v>61</v>
      </c>
      <c r="AW418">
        <v>0</v>
      </c>
      <c r="AX418">
        <v>3</v>
      </c>
      <c r="AY418">
        <v>0</v>
      </c>
      <c r="AZ418">
        <v>23500</v>
      </c>
      <c r="BA418">
        <v>100</v>
      </c>
      <c r="BB418">
        <v>100</v>
      </c>
      <c r="BC418">
        <v>100</v>
      </c>
      <c r="BD418">
        <v>100</v>
      </c>
      <c r="BE418">
        <v>1</v>
      </c>
      <c r="BF418">
        <v>15000</v>
      </c>
      <c r="BG418">
        <v>1000</v>
      </c>
      <c r="BH418" s="8">
        <f>Granger_Inventory[[#This Row],[land_extract]]*Lookups!$B$3</f>
        <v>21427.618862498482</v>
      </c>
      <c r="BI418" s="8">
        <f>IF(Granger_Inventory[[#This Row],[bldg_style]]="",0,Lookups!$B$2)</f>
        <v>29703.559000000001</v>
      </c>
      <c r="BJ418" s="8">
        <f>_xlfn.IFNA(VLOOKUP(Granger_Inventory[[#This Row],[quality]],Lookups!$H$2:$J$14,3,FALSE),0)</f>
        <v>23737.786340274597</v>
      </c>
      <c r="BK418" s="8">
        <f>_xlfn.IFNA(VLOOKUP(Granger_Inventory[[#This Row],[condition]],Lookups!$H$17:$J$24,3,FALSE),0)</f>
        <v>33736</v>
      </c>
      <c r="BL418" s="8">
        <f>Granger_Inventory[[#This Row],[Age]]*Lookups!$B$16</f>
        <v>-20318.447799999998</v>
      </c>
      <c r="BM418" s="8">
        <f>Granger_Inventory[[#This Row],[living_area]]*Lookups!$B$17</f>
        <v>85840.231883999993</v>
      </c>
      <c r="BN418" s="8">
        <f>(Granger_Inventory[[#This Row],[att_gar]]+Granger_Inventory[[#This Row],[blt_gar]])*Lookups!$B$18</f>
        <v>0</v>
      </c>
      <c r="BO418" s="8">
        <f>Granger_Inventory[[#This Row],[Patio]]*Lookups!$B$19</f>
        <v>0</v>
      </c>
      <c r="BP418" s="8">
        <f>SUM(Granger_Inventory[[#This Row],[Intercept]:[Patio_Value]])*Granger_Inventory[[#This Row],[res_pct]]</f>
        <v>152699.12942427461</v>
      </c>
      <c r="BQ418" s="8">
        <f>Granger_Inventory[[#This Row],[land_value]]</f>
        <v>21427.618862498482</v>
      </c>
      <c r="BR418" s="4">
        <f>_xlfn.IFNA(VLOOKUP(Granger_Inventory[[#This Row],[quality]],Lookups!$A$25:$C$35,3,FALSE),1)</f>
        <v>0.77695375541795109</v>
      </c>
      <c r="BS418" s="4">
        <f>_xlfn.IFNA(VLOOKUP(Granger_Inventory[[#This Row],[condition]],Lookups!$A$38:$C$45,3,FALSE),1)</f>
        <v>0.92294678898076177</v>
      </c>
      <c r="BT418" s="4">
        <f>IF(Granger_Inventory[[#This Row],[decade]]="",1,_xlfn.IFNA(VLOOKUP(Granger_Inventory[[#This Row],[decade]],Lookups!$G$28:$I$42,3,FALSE),1))</f>
        <v>0.879441629375324</v>
      </c>
      <c r="BU418" s="4">
        <f>_xlfn.IFNA(VLOOKUP(Granger_Inventory[[#This Row],[living_area_range]],Lookups!$A$48:$C$57,3,FALSE),1)</f>
        <v>0.97960506760539345</v>
      </c>
      <c r="BV418" s="4">
        <f>AVERAGE(Granger_Inventory[[#This Row],[qual_adj]:[living_range_adj]])</f>
        <v>0.88973681034485752</v>
      </c>
      <c r="BW418" s="8">
        <f>(Granger_Inventory[[#This Row],[sum_land]]-IF(Granger_Inventory[[#This Row],[no_utilities]]=1,12000,0))/IF(Granger_Inventory[[#This Row],[unbuildable]]=1,2,1)</f>
        <v>21427.618862498482</v>
      </c>
      <c r="BX418" s="8">
        <f>Granger_Inventory[[#This Row],[pre_res]]*Granger_Inventory[[#This Row],[overall_adj]]</f>
        <v>135862.03635639066</v>
      </c>
      <c r="BY41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18">
        <f>ROUND(Granger_Inventory[[#This Row],[detatched_value]]*Lookups!$I$45,-2)</f>
        <v>22300</v>
      </c>
      <c r="CA418">
        <f>IF(ROUND(Granger_Inventory[[#This Row],[adj_res]]*Lookups!$I$45,-2)&lt;Granger_Inventory[[#This Row],[min_res]],Granger_Inventory[[#This Row],[min_res]],ROUND(Granger_Inventory[[#This Row],[adj_res]]*Lookups!$I$45,-2))</f>
        <v>129100</v>
      </c>
      <c r="CB418">
        <f>Granger_Inventory[[#This Row],[final_det]]+Granger_Inventory[[#This Row],[final_res]]</f>
        <v>151400</v>
      </c>
      <c r="CC418">
        <f>Granger_Inventory[[#This Row],[final_land]]+Granger_Inventory[[#This Row],[final_imp]]+Granger_Inventory[[#This Row],[crop_value]]</f>
        <v>171800</v>
      </c>
      <c r="CE418" t="str">
        <f t="shared" si="6"/>
        <v>update valuation set market_land =20400, market_bldg=151400, market_total =171800, market_mdno =402, market_date ='9/10/2023' where link_id = (select link_id from parcel where parcel_year = '2024' and parcel_id = '21102114466');</v>
      </c>
    </row>
    <row r="419" spans="1:83" x14ac:dyDescent="0.25">
      <c r="A419">
        <v>21102114469</v>
      </c>
      <c r="B419">
        <v>0.22</v>
      </c>
      <c r="C419" t="s">
        <v>137</v>
      </c>
      <c r="D419" t="s">
        <v>137</v>
      </c>
      <c r="E419" t="s">
        <v>54</v>
      </c>
      <c r="F419" t="s">
        <v>54</v>
      </c>
      <c r="G419">
        <v>3</v>
      </c>
      <c r="H419" t="s">
        <v>55</v>
      </c>
      <c r="I419">
        <v>111200</v>
      </c>
      <c r="J419">
        <v>26700</v>
      </c>
      <c r="K419">
        <v>0.22</v>
      </c>
      <c r="L419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19">
        <v>0</v>
      </c>
      <c r="N419">
        <v>0</v>
      </c>
      <c r="O419">
        <v>0</v>
      </c>
      <c r="P419">
        <v>47108.068500000001</v>
      </c>
      <c r="Q419">
        <v>122298</v>
      </c>
      <c r="R419">
        <f>(Granger_Inventory[[#This Row],[ln_acres]]*Granger_Inventory[[#This Row],[coeff]])+Granger_Inventory[[#This Row],[const]]</f>
        <v>50970.367053526847</v>
      </c>
      <c r="S419" t="s">
        <v>69</v>
      </c>
      <c r="T419">
        <v>1</v>
      </c>
      <c r="U419" t="s">
        <v>78</v>
      </c>
      <c r="V419" t="s">
        <v>77</v>
      </c>
      <c r="W419">
        <v>0</v>
      </c>
      <c r="X419">
        <v>0</v>
      </c>
      <c r="Y419">
        <v>51</v>
      </c>
      <c r="Z419">
        <v>83</v>
      </c>
      <c r="AA419">
        <v>90</v>
      </c>
      <c r="AB419">
        <v>1500</v>
      </c>
      <c r="AC419">
        <v>1456</v>
      </c>
      <c r="AD419">
        <v>1456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352</v>
      </c>
      <c r="AN419">
        <v>84</v>
      </c>
      <c r="AO419">
        <v>352</v>
      </c>
      <c r="AP419">
        <v>5</v>
      </c>
      <c r="AQ419">
        <v>0</v>
      </c>
      <c r="AR419">
        <v>0</v>
      </c>
      <c r="AS419" t="s">
        <v>59</v>
      </c>
      <c r="AT419">
        <v>1</v>
      </c>
      <c r="AU419" t="s">
        <v>76</v>
      </c>
      <c r="AV419" t="s">
        <v>65</v>
      </c>
      <c r="AW419">
        <v>0</v>
      </c>
      <c r="AX419">
        <v>3</v>
      </c>
      <c r="AY419">
        <v>0</v>
      </c>
      <c r="AZ419">
        <v>3700</v>
      </c>
      <c r="BA419">
        <v>100</v>
      </c>
      <c r="BB419">
        <v>100</v>
      </c>
      <c r="BC419">
        <v>100</v>
      </c>
      <c r="BD419">
        <v>100</v>
      </c>
      <c r="BE419">
        <v>1</v>
      </c>
      <c r="BF419">
        <v>15000</v>
      </c>
      <c r="BG419">
        <v>1000</v>
      </c>
      <c r="BH419" s="8">
        <f>Granger_Inventory[[#This Row],[land_extract]]*Lookups!$B$3</f>
        <v>30364.617541091193</v>
      </c>
      <c r="BI419" s="8">
        <f>IF(Granger_Inventory[[#This Row],[bldg_style]]="",0,Lookups!$B$2)</f>
        <v>29703.559000000001</v>
      </c>
      <c r="BJ419" s="8">
        <f>_xlfn.IFNA(VLOOKUP(Granger_Inventory[[#This Row],[quality]],Lookups!$H$2:$J$14,3,FALSE),0)</f>
        <v>23737.786340274597</v>
      </c>
      <c r="BK419" s="8">
        <f>_xlfn.IFNA(VLOOKUP(Granger_Inventory[[#This Row],[condition]],Lookups!$H$17:$J$24,3,FALSE),0)</f>
        <v>33736</v>
      </c>
      <c r="BL419" s="8">
        <f>Granger_Inventory[[#This Row],[Age]]*Lookups!$B$16</f>
        <v>-17208.481299999999</v>
      </c>
      <c r="BM419" s="8">
        <f>Granger_Inventory[[#This Row],[living_area]]*Lookups!$B$17</f>
        <v>97949.355503999992</v>
      </c>
      <c r="BN419" s="8">
        <f>(Granger_Inventory[[#This Row],[att_gar]]+Granger_Inventory[[#This Row],[blt_gar]])*Lookups!$B$18</f>
        <v>0</v>
      </c>
      <c r="BO419" s="8">
        <f>Granger_Inventory[[#This Row],[Patio]]*Lookups!$B$19</f>
        <v>19118.913791999999</v>
      </c>
      <c r="BP419" s="8">
        <f>SUM(Granger_Inventory[[#This Row],[Intercept]:[Patio_Value]])*Granger_Inventory[[#This Row],[res_pct]]</f>
        <v>187037.13333627459</v>
      </c>
      <c r="BQ419" s="8">
        <f>Granger_Inventory[[#This Row],[land_value]]</f>
        <v>30364.617541091193</v>
      </c>
      <c r="BR419" s="4">
        <f>_xlfn.IFNA(VLOOKUP(Granger_Inventory[[#This Row],[quality]],Lookups!$A$25:$C$35,3,FALSE),1)</f>
        <v>0.77695375541795109</v>
      </c>
      <c r="BS419" s="4">
        <f>_xlfn.IFNA(VLOOKUP(Granger_Inventory[[#This Row],[condition]],Lookups!$A$38:$C$45,3,FALSE),1)</f>
        <v>0.92294678898076177</v>
      </c>
      <c r="BT419" s="4">
        <f>IF(Granger_Inventory[[#This Row],[decade]]="",1,_xlfn.IFNA(VLOOKUP(Granger_Inventory[[#This Row],[decade]],Lookups!$G$28:$I$42,3,FALSE),1))</f>
        <v>0.95234610137492615</v>
      </c>
      <c r="BU419" s="4">
        <f>_xlfn.IFNA(VLOOKUP(Granger_Inventory[[#This Row],[living_area_range]],Lookups!$A$48:$C$57,3,FALSE),1)</f>
        <v>0.97960506760539345</v>
      </c>
      <c r="BV419" s="4">
        <f>AVERAGE(Granger_Inventory[[#This Row],[qual_adj]:[living_range_adj]])</f>
        <v>0.90796292834475811</v>
      </c>
      <c r="BW419" s="8">
        <f>(Granger_Inventory[[#This Row],[sum_land]]-IF(Granger_Inventory[[#This Row],[no_utilities]]=1,12000,0))/IF(Granger_Inventory[[#This Row],[unbuildable]]=1,2,1)</f>
        <v>30364.617541091193</v>
      </c>
      <c r="BX419" s="8">
        <f>Granger_Inventory[[#This Row],[pre_res]]*Granger_Inventory[[#This Row],[overall_adj]]</f>
        <v>169822.78329321285</v>
      </c>
      <c r="BY419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19">
        <f>ROUND(Granger_Inventory[[#This Row],[detatched_value]]*Lookups!$I$45,-2)</f>
        <v>3500</v>
      </c>
      <c r="CA419">
        <f>IF(ROUND(Granger_Inventory[[#This Row],[adj_res]]*Lookups!$I$45,-2)&lt;Granger_Inventory[[#This Row],[min_res]],Granger_Inventory[[#This Row],[min_res]],ROUND(Granger_Inventory[[#This Row],[adj_res]]*Lookups!$I$45,-2))</f>
        <v>161300</v>
      </c>
      <c r="CB419">
        <f>Granger_Inventory[[#This Row],[final_det]]+Granger_Inventory[[#This Row],[final_res]]</f>
        <v>164800</v>
      </c>
      <c r="CC419">
        <f>Granger_Inventory[[#This Row],[final_land]]+Granger_Inventory[[#This Row],[final_imp]]+Granger_Inventory[[#This Row],[crop_value]]</f>
        <v>193600</v>
      </c>
      <c r="CE419" t="str">
        <f t="shared" si="6"/>
        <v>update valuation set market_land =28800, market_bldg=164800, market_total =193600, market_mdno =402, market_date ='9/10/2023' where link_id = (select link_id from parcel where parcel_year = '2024' and parcel_id = '21102114469');</v>
      </c>
    </row>
    <row r="420" spans="1:83" x14ac:dyDescent="0.25">
      <c r="A420">
        <v>21102114470</v>
      </c>
      <c r="B420">
        <v>0.12</v>
      </c>
      <c r="C420" t="s">
        <v>137</v>
      </c>
      <c r="D420" t="s">
        <v>137</v>
      </c>
      <c r="E420" t="s">
        <v>54</v>
      </c>
      <c r="F420" t="s">
        <v>54</v>
      </c>
      <c r="G420">
        <v>3</v>
      </c>
      <c r="H420" t="s">
        <v>55</v>
      </c>
      <c r="I420">
        <v>0</v>
      </c>
      <c r="J420">
        <v>23400</v>
      </c>
      <c r="K420">
        <v>0.12</v>
      </c>
      <c r="L420">
        <f>IF(Granger_Inventory[[#This Row],[parcel_acres]]-Granger_Inventory[[#This Row],[non_valued_acres]] =0,0,LN(Granger_Inventory[[#This Row],[parcel_acres]]-Granger_Inventory[[#This Row],[non_valued_acres]]))</f>
        <v>-2.120263536200091</v>
      </c>
      <c r="M420">
        <v>0</v>
      </c>
      <c r="N420">
        <v>0</v>
      </c>
      <c r="O420">
        <v>0</v>
      </c>
      <c r="P420">
        <v>47108.068500000001</v>
      </c>
      <c r="Q420">
        <v>122298</v>
      </c>
      <c r="R420">
        <f>(Granger_Inventory[[#This Row],[ln_acres]]*Granger_Inventory[[#This Row],[coeff]])+Granger_Inventory[[#This Row],[const]]</f>
        <v>22416.480098633881</v>
      </c>
      <c r="S420" t="s">
        <v>69</v>
      </c>
      <c r="T420">
        <v>1</v>
      </c>
      <c r="U420" t="s">
        <v>106</v>
      </c>
      <c r="V420" t="s">
        <v>79</v>
      </c>
      <c r="W420">
        <v>0</v>
      </c>
      <c r="X420">
        <v>0</v>
      </c>
      <c r="Y420">
        <v>52</v>
      </c>
      <c r="Z420">
        <v>88</v>
      </c>
      <c r="AA420">
        <v>90</v>
      </c>
      <c r="AB420">
        <v>500</v>
      </c>
      <c r="AC420">
        <v>360</v>
      </c>
      <c r="AD420">
        <v>360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5</v>
      </c>
      <c r="AQ420">
        <v>0</v>
      </c>
      <c r="AR420">
        <v>0</v>
      </c>
      <c r="AS420" t="s">
        <v>59</v>
      </c>
      <c r="AT420">
        <v>1</v>
      </c>
      <c r="AU420" t="s">
        <v>76</v>
      </c>
      <c r="AV420" t="s">
        <v>65</v>
      </c>
      <c r="AW420">
        <v>0</v>
      </c>
      <c r="AX420">
        <v>1</v>
      </c>
      <c r="AY420">
        <v>0</v>
      </c>
      <c r="AZ420">
        <v>0</v>
      </c>
      <c r="BA420">
        <v>100</v>
      </c>
      <c r="BB420">
        <v>100</v>
      </c>
      <c r="BC420">
        <v>100</v>
      </c>
      <c r="BD420">
        <v>100</v>
      </c>
      <c r="BE420">
        <v>1</v>
      </c>
      <c r="BF420">
        <v>15000</v>
      </c>
      <c r="BG420">
        <v>1000</v>
      </c>
      <c r="BH420" s="8">
        <f>Granger_Inventory[[#This Row],[land_extract]]*Lookups!$B$3</f>
        <v>13354.187622343241</v>
      </c>
      <c r="BI420" s="8">
        <f>IF(Granger_Inventory[[#This Row],[bldg_style]]="",0,Lookups!$B$2)</f>
        <v>29703.559000000001</v>
      </c>
      <c r="BJ420" s="8">
        <f>_xlfn.IFNA(VLOOKUP(Granger_Inventory[[#This Row],[quality]],Lookups!$H$2:$J$14,3,FALSE),0)</f>
        <v>17985.540667792327</v>
      </c>
      <c r="BK420" s="8">
        <f>_xlfn.IFNA(VLOOKUP(Granger_Inventory[[#This Row],[condition]],Lookups!$H$17:$J$24,3,FALSE),0)</f>
        <v>86727</v>
      </c>
      <c r="BL420" s="8">
        <f>Granger_Inventory[[#This Row],[Age]]*Lookups!$B$16</f>
        <v>-18245.1368</v>
      </c>
      <c r="BM420" s="8">
        <f>Granger_Inventory[[#This Row],[living_area]]*Lookups!$B$17</f>
        <v>24218.247240000001</v>
      </c>
      <c r="BN420" s="8">
        <f>(Granger_Inventory[[#This Row],[att_gar]]+Granger_Inventory[[#This Row],[blt_gar]])*Lookups!$B$18</f>
        <v>0</v>
      </c>
      <c r="BO420" s="8">
        <f>Granger_Inventory[[#This Row],[Patio]]*Lookups!$B$19</f>
        <v>0</v>
      </c>
      <c r="BP420" s="8">
        <f>SUM(Granger_Inventory[[#This Row],[Intercept]:[Patio_Value]])*Granger_Inventory[[#This Row],[res_pct]]</f>
        <v>140389.21010779231</v>
      </c>
      <c r="BQ420" s="8">
        <f>Granger_Inventory[[#This Row],[land_value]]</f>
        <v>13354.187622343241</v>
      </c>
      <c r="BR420" s="4">
        <f>_xlfn.IFNA(VLOOKUP(Granger_Inventory[[#This Row],[quality]],Lookups!$A$25:$C$35,3,FALSE),1)</f>
        <v>0.77695375541795109</v>
      </c>
      <c r="BS420" s="4">
        <f>_xlfn.IFNA(VLOOKUP(Granger_Inventory[[#This Row],[condition]],Lookups!$A$38:$C$45,3,FALSE),1)</f>
        <v>0.85322907131620684</v>
      </c>
      <c r="BT420" s="4">
        <f>IF(Granger_Inventory[[#This Row],[decade]]="",1,_xlfn.IFNA(VLOOKUP(Granger_Inventory[[#This Row],[decade]],Lookups!$G$28:$I$42,3,FALSE),1))</f>
        <v>0.95234610137492615</v>
      </c>
      <c r="BU420" s="4">
        <f>_xlfn.IFNA(VLOOKUP(Granger_Inventory[[#This Row],[living_area_range]],Lookups!$A$48:$C$57,3,FALSE),1)</f>
        <v>0.81272404900450645</v>
      </c>
      <c r="BV420" s="4">
        <f>AVERAGE(Granger_Inventory[[#This Row],[qual_adj]:[living_range_adj]])</f>
        <v>0.84881324427839766</v>
      </c>
      <c r="BW420" s="8">
        <f>(Granger_Inventory[[#This Row],[sum_land]]-IF(Granger_Inventory[[#This Row],[no_utilities]]=1,12000,0))/IF(Granger_Inventory[[#This Row],[unbuildable]]=1,2,1)</f>
        <v>13354.187622343241</v>
      </c>
      <c r="BX420" s="8">
        <f>Granger_Inventory[[#This Row],[pre_res]]*Granger_Inventory[[#This Row],[overall_adj]]</f>
        <v>119164.22089327681</v>
      </c>
      <c r="BY420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420">
        <f>ROUND(Granger_Inventory[[#This Row],[detatched_value]]*Lookups!$I$45,-2)</f>
        <v>0</v>
      </c>
      <c r="CA420">
        <f>IF(ROUND(Granger_Inventory[[#This Row],[adj_res]]*Lookups!$I$45,-2)&lt;Granger_Inventory[[#This Row],[min_res]],Granger_Inventory[[#This Row],[min_res]],ROUND(Granger_Inventory[[#This Row],[adj_res]]*Lookups!$I$45,-2))</f>
        <v>113200</v>
      </c>
      <c r="CB420">
        <f>Granger_Inventory[[#This Row],[final_det]]+Granger_Inventory[[#This Row],[final_res]]</f>
        <v>113200</v>
      </c>
      <c r="CC420">
        <f>Granger_Inventory[[#This Row],[final_land]]+Granger_Inventory[[#This Row],[final_imp]]+Granger_Inventory[[#This Row],[crop_value]]</f>
        <v>128200</v>
      </c>
      <c r="CE420" t="str">
        <f t="shared" si="6"/>
        <v>update valuation set market_land =15000, market_bldg=113200, market_total =128200, market_mdno =402, market_date ='9/10/2023' where link_id = (select link_id from parcel where parcel_year = '2024' and parcel_id = '21102114470');</v>
      </c>
    </row>
    <row r="421" spans="1:83" x14ac:dyDescent="0.25">
      <c r="A421">
        <v>21102114471</v>
      </c>
      <c r="B421">
        <v>0.17</v>
      </c>
      <c r="C421" t="s">
        <v>137</v>
      </c>
      <c r="D421" t="s">
        <v>137</v>
      </c>
      <c r="E421" t="s">
        <v>54</v>
      </c>
      <c r="F421" t="s">
        <v>54</v>
      </c>
      <c r="G421">
        <v>3</v>
      </c>
      <c r="H421" t="s">
        <v>55</v>
      </c>
      <c r="I421">
        <v>106400</v>
      </c>
      <c r="J421">
        <v>25300</v>
      </c>
      <c r="K421">
        <v>0.17</v>
      </c>
      <c r="L421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21">
        <v>0</v>
      </c>
      <c r="N421">
        <v>0</v>
      </c>
      <c r="O421">
        <v>0</v>
      </c>
      <c r="P421">
        <v>47108.068500000001</v>
      </c>
      <c r="Q421">
        <v>122298</v>
      </c>
      <c r="R421">
        <f>(Granger_Inventory[[#This Row],[ln_acres]]*Granger_Inventory[[#This Row],[coeff]])+Granger_Inventory[[#This Row],[const]]</f>
        <v>38824.535711229546</v>
      </c>
      <c r="S421" t="s">
        <v>56</v>
      </c>
      <c r="T421">
        <v>1</v>
      </c>
      <c r="U421" t="s">
        <v>71</v>
      </c>
      <c r="V421" t="s">
        <v>77</v>
      </c>
      <c r="W421">
        <v>0</v>
      </c>
      <c r="X421">
        <v>0</v>
      </c>
      <c r="Y421">
        <v>42</v>
      </c>
      <c r="Z421">
        <v>42</v>
      </c>
      <c r="AA421">
        <v>50</v>
      </c>
      <c r="AB421">
        <v>1500</v>
      </c>
      <c r="AC421">
        <v>1210</v>
      </c>
      <c r="AD421">
        <v>1210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5</v>
      </c>
      <c r="AQ421">
        <v>0</v>
      </c>
      <c r="AR421">
        <v>0</v>
      </c>
      <c r="AS421" t="s">
        <v>59</v>
      </c>
      <c r="AT421">
        <v>1</v>
      </c>
      <c r="AU421" t="s">
        <v>60</v>
      </c>
      <c r="AV421" t="s">
        <v>65</v>
      </c>
      <c r="AW421">
        <v>0</v>
      </c>
      <c r="AX421">
        <v>3</v>
      </c>
      <c r="AY421">
        <v>0</v>
      </c>
      <c r="AZ421">
        <v>0</v>
      </c>
      <c r="BA421">
        <v>100</v>
      </c>
      <c r="BB421">
        <v>100</v>
      </c>
      <c r="BC421">
        <v>100</v>
      </c>
      <c r="BD421">
        <v>100</v>
      </c>
      <c r="BE421">
        <v>1</v>
      </c>
      <c r="BF421">
        <v>15000</v>
      </c>
      <c r="BG421">
        <v>1000</v>
      </c>
      <c r="BH421" s="8">
        <f>Granger_Inventory[[#This Row],[land_extract]]*Lookups!$B$3</f>
        <v>23128.971718879347</v>
      </c>
      <c r="BI421" s="8">
        <f>IF(Granger_Inventory[[#This Row],[bldg_style]]="",0,Lookups!$B$2)</f>
        <v>29703.559000000001</v>
      </c>
      <c r="BJ421" s="8">
        <f>_xlfn.IFNA(VLOOKUP(Granger_Inventory[[#This Row],[quality]],Lookups!$H$2:$J$14,3,FALSE),0)</f>
        <v>34195</v>
      </c>
      <c r="BK421" s="8">
        <f>_xlfn.IFNA(VLOOKUP(Granger_Inventory[[#This Row],[condition]],Lookups!$H$17:$J$24,3,FALSE),0)</f>
        <v>33736</v>
      </c>
      <c r="BL421" s="8">
        <f>Granger_Inventory[[#This Row],[Age]]*Lookups!$B$16</f>
        <v>-8707.9061999999994</v>
      </c>
      <c r="BM421" s="8">
        <f>Granger_Inventory[[#This Row],[living_area]]*Lookups!$B$17</f>
        <v>81400.219889999993</v>
      </c>
      <c r="BN421" s="8">
        <f>(Granger_Inventory[[#This Row],[att_gar]]+Granger_Inventory[[#This Row],[blt_gar]])*Lookups!$B$18</f>
        <v>0</v>
      </c>
      <c r="BO421" s="8">
        <f>Granger_Inventory[[#This Row],[Patio]]*Lookups!$B$19</f>
        <v>0</v>
      </c>
      <c r="BP421" s="8">
        <f>SUM(Granger_Inventory[[#This Row],[Intercept]:[Patio_Value]])*Granger_Inventory[[#This Row],[res_pct]]</f>
        <v>170326.87268999999</v>
      </c>
      <c r="BQ421" s="8">
        <f>Granger_Inventory[[#This Row],[land_value]]</f>
        <v>23128.971718879347</v>
      </c>
      <c r="BR421" s="4">
        <f>_xlfn.IFNA(VLOOKUP(Granger_Inventory[[#This Row],[quality]],Lookups!$A$25:$C$35,3,FALSE),1)</f>
        <v>0.98258795897788032</v>
      </c>
      <c r="BS421" s="4">
        <f>_xlfn.IFNA(VLOOKUP(Granger_Inventory[[#This Row],[condition]],Lookups!$A$38:$C$45,3,FALSE),1)</f>
        <v>0.92294678898076177</v>
      </c>
      <c r="BT421" s="4">
        <f>IF(Granger_Inventory[[#This Row],[decade]]="",1,_xlfn.IFNA(VLOOKUP(Granger_Inventory[[#This Row],[decade]],Lookups!$G$28:$I$42,3,FALSE),1))</f>
        <v>1.2441094871772171</v>
      </c>
      <c r="BU421" s="4">
        <f>_xlfn.IFNA(VLOOKUP(Granger_Inventory[[#This Row],[living_area_range]],Lookups!$A$48:$C$57,3,FALSE),1)</f>
        <v>0.97960506760539345</v>
      </c>
      <c r="BV421" s="4">
        <f>AVERAGE(Granger_Inventory[[#This Row],[qual_adj]:[living_range_adj]])</f>
        <v>1.0323123256853131</v>
      </c>
      <c r="BW421" s="8">
        <f>(Granger_Inventory[[#This Row],[sum_land]]-IF(Granger_Inventory[[#This Row],[no_utilities]]=1,12000,0))/IF(Granger_Inventory[[#This Row],[unbuildable]]=1,2,1)</f>
        <v>23128.971718879347</v>
      </c>
      <c r="BX421" s="8">
        <f>Granger_Inventory[[#This Row],[pre_res]]*Granger_Inventory[[#This Row],[overall_adj]]</f>
        <v>175830.53007332011</v>
      </c>
      <c r="BY421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21">
        <f>ROUND(Granger_Inventory[[#This Row],[detatched_value]]*Lookups!$I$45,-2)</f>
        <v>0</v>
      </c>
      <c r="CA421">
        <f>IF(ROUND(Granger_Inventory[[#This Row],[adj_res]]*Lookups!$I$45,-2)&lt;Granger_Inventory[[#This Row],[min_res]],Granger_Inventory[[#This Row],[min_res]],ROUND(Granger_Inventory[[#This Row],[adj_res]]*Lookups!$I$45,-2))</f>
        <v>167000</v>
      </c>
      <c r="CB421">
        <f>Granger_Inventory[[#This Row],[final_det]]+Granger_Inventory[[#This Row],[final_res]]</f>
        <v>167000</v>
      </c>
      <c r="CC421">
        <f>Granger_Inventory[[#This Row],[final_land]]+Granger_Inventory[[#This Row],[final_imp]]+Granger_Inventory[[#This Row],[crop_value]]</f>
        <v>189000</v>
      </c>
      <c r="CE421" t="str">
        <f t="shared" si="6"/>
        <v>update valuation set market_land =22000, market_bldg=167000, market_total =189000, market_mdno =402, market_date ='9/10/2023' where link_id = (select link_id from parcel where parcel_year = '2024' and parcel_id = '21102114471');</v>
      </c>
    </row>
    <row r="422" spans="1:83" x14ac:dyDescent="0.25">
      <c r="A422">
        <v>21102114472</v>
      </c>
      <c r="B422">
        <v>0.34</v>
      </c>
      <c r="C422" t="s">
        <v>137</v>
      </c>
      <c r="D422" t="s">
        <v>137</v>
      </c>
      <c r="E422" t="s">
        <v>54</v>
      </c>
      <c r="F422" t="s">
        <v>54</v>
      </c>
      <c r="G422">
        <v>3</v>
      </c>
      <c r="H422" t="s">
        <v>55</v>
      </c>
      <c r="I422">
        <v>103900</v>
      </c>
      <c r="J422">
        <v>29200</v>
      </c>
      <c r="K422">
        <v>0.34</v>
      </c>
      <c r="L422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422">
        <v>0</v>
      </c>
      <c r="N422">
        <v>0</v>
      </c>
      <c r="O422">
        <v>0</v>
      </c>
      <c r="P422">
        <v>47108.068500000001</v>
      </c>
      <c r="Q422">
        <v>122298</v>
      </c>
      <c r="R422">
        <f>(Granger_Inventory[[#This Row],[ln_acres]]*Granger_Inventory[[#This Row],[coeff]])+Granger_Inventory[[#This Row],[const]]</f>
        <v>71477.360573629325</v>
      </c>
      <c r="S422" t="s">
        <v>56</v>
      </c>
      <c r="T422">
        <v>1</v>
      </c>
      <c r="U422" t="s">
        <v>78</v>
      </c>
      <c r="V422" t="s">
        <v>79</v>
      </c>
      <c r="W422">
        <v>0</v>
      </c>
      <c r="X422">
        <v>0</v>
      </c>
      <c r="Y422">
        <v>45</v>
      </c>
      <c r="Z422">
        <v>52</v>
      </c>
      <c r="AA422">
        <v>60</v>
      </c>
      <c r="AB422">
        <v>1500</v>
      </c>
      <c r="AC422">
        <v>1251</v>
      </c>
      <c r="AD422">
        <v>1251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253</v>
      </c>
      <c r="AL422">
        <v>0</v>
      </c>
      <c r="AM422">
        <v>0</v>
      </c>
      <c r="AN422">
        <v>0</v>
      </c>
      <c r="AO422">
        <v>0</v>
      </c>
      <c r="AP422">
        <v>7</v>
      </c>
      <c r="AQ422">
        <v>0</v>
      </c>
      <c r="AR422">
        <v>0</v>
      </c>
      <c r="AS422" t="s">
        <v>59</v>
      </c>
      <c r="AT422">
        <v>1</v>
      </c>
      <c r="AU422" t="s">
        <v>60</v>
      </c>
      <c r="AV422" t="s">
        <v>61</v>
      </c>
      <c r="AW422">
        <v>0</v>
      </c>
      <c r="AX422">
        <v>3</v>
      </c>
      <c r="AY422">
        <v>0</v>
      </c>
      <c r="AZ422">
        <v>45000</v>
      </c>
      <c r="BA422">
        <v>100</v>
      </c>
      <c r="BB422">
        <v>100</v>
      </c>
      <c r="BC422">
        <v>100</v>
      </c>
      <c r="BD422">
        <v>100</v>
      </c>
      <c r="BE422">
        <v>1</v>
      </c>
      <c r="BF422">
        <v>15000</v>
      </c>
      <c r="BG422">
        <v>1000</v>
      </c>
      <c r="BH422" s="8">
        <f>Granger_Inventory[[#This Row],[land_extract]]*Lookups!$B$3</f>
        <v>42581.265196416658</v>
      </c>
      <c r="BI422" s="8">
        <f>IF(Granger_Inventory[[#This Row],[bldg_style]]="",0,Lookups!$B$2)</f>
        <v>29703.559000000001</v>
      </c>
      <c r="BJ422" s="8">
        <f>_xlfn.IFNA(VLOOKUP(Granger_Inventory[[#This Row],[quality]],Lookups!$H$2:$J$14,3,FALSE),0)</f>
        <v>23737.786340274597</v>
      </c>
      <c r="BK422" s="8">
        <f>_xlfn.IFNA(VLOOKUP(Granger_Inventory[[#This Row],[condition]],Lookups!$H$17:$J$24,3,FALSE),0)</f>
        <v>86727</v>
      </c>
      <c r="BL422" s="8">
        <f>Granger_Inventory[[#This Row],[Age]]*Lookups!$B$16</f>
        <v>-10781.217199999999</v>
      </c>
      <c r="BM422" s="8">
        <f>Granger_Inventory[[#This Row],[living_area]]*Lookups!$B$17</f>
        <v>84158.409159000003</v>
      </c>
      <c r="BN422" s="8">
        <f>(Granger_Inventory[[#This Row],[att_gar]]+Granger_Inventory[[#This Row],[blt_gar]])*Lookups!$B$18</f>
        <v>0</v>
      </c>
      <c r="BO422" s="8">
        <f>Granger_Inventory[[#This Row],[Patio]]*Lookups!$B$19</f>
        <v>0</v>
      </c>
      <c r="BP422" s="8">
        <f>SUM(Granger_Inventory[[#This Row],[Intercept]:[Patio_Value]])*Granger_Inventory[[#This Row],[res_pct]]</f>
        <v>213545.53729927458</v>
      </c>
      <c r="BQ422" s="8">
        <f>Granger_Inventory[[#This Row],[land_value]]</f>
        <v>42581.265196416658</v>
      </c>
      <c r="BR422" s="4">
        <f>_xlfn.IFNA(VLOOKUP(Granger_Inventory[[#This Row],[quality]],Lookups!$A$25:$C$35,3,FALSE),1)</f>
        <v>0.77695375541795109</v>
      </c>
      <c r="BS422" s="4">
        <f>_xlfn.IFNA(VLOOKUP(Granger_Inventory[[#This Row],[condition]],Lookups!$A$38:$C$45,3,FALSE),1)</f>
        <v>0.85322907131620684</v>
      </c>
      <c r="BT422" s="4">
        <f>IF(Granger_Inventory[[#This Row],[decade]]="",1,_xlfn.IFNA(VLOOKUP(Granger_Inventory[[#This Row],[decade]],Lookups!$G$28:$I$42,3,FALSE),1))</f>
        <v>0.86581421791274704</v>
      </c>
      <c r="BU422" s="4">
        <f>_xlfn.IFNA(VLOOKUP(Granger_Inventory[[#This Row],[living_area_range]],Lookups!$A$48:$C$57,3,FALSE),1)</f>
        <v>0.97960506760539345</v>
      </c>
      <c r="BV422" s="4">
        <f>AVERAGE(Granger_Inventory[[#This Row],[qual_adj]:[living_range_adj]])</f>
        <v>0.86890052806307461</v>
      </c>
      <c r="BW422" s="8">
        <f>(Granger_Inventory[[#This Row],[sum_land]]-IF(Granger_Inventory[[#This Row],[no_utilities]]=1,12000,0))/IF(Granger_Inventory[[#This Row],[unbuildable]]=1,2,1)</f>
        <v>42581.265196416658</v>
      </c>
      <c r="BX422" s="8">
        <f>Granger_Inventory[[#This Row],[pre_res]]*Granger_Inventory[[#This Row],[overall_adj]]</f>
        <v>185549.83012485268</v>
      </c>
      <c r="BY422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422">
        <f>ROUND(Granger_Inventory[[#This Row],[detatched_value]]*Lookups!$I$45,-2)</f>
        <v>42800</v>
      </c>
      <c r="CA422">
        <f>IF(ROUND(Granger_Inventory[[#This Row],[adj_res]]*Lookups!$I$45,-2)&lt;Granger_Inventory[[#This Row],[min_res]],Granger_Inventory[[#This Row],[min_res]],ROUND(Granger_Inventory[[#This Row],[adj_res]]*Lookups!$I$45,-2))</f>
        <v>176300</v>
      </c>
      <c r="CB422">
        <f>Granger_Inventory[[#This Row],[final_det]]+Granger_Inventory[[#This Row],[final_res]]</f>
        <v>219100</v>
      </c>
      <c r="CC422">
        <f>Granger_Inventory[[#This Row],[final_land]]+Granger_Inventory[[#This Row],[final_imp]]+Granger_Inventory[[#This Row],[crop_value]]</f>
        <v>259600</v>
      </c>
      <c r="CE422" t="str">
        <f t="shared" si="6"/>
        <v>update valuation set market_land =40500, market_bldg=219100, market_total =259600, market_mdno =402, market_date ='9/10/2023' where link_id = (select link_id from parcel where parcel_year = '2024' and parcel_id = '21102114472');</v>
      </c>
    </row>
    <row r="423" spans="1:83" x14ac:dyDescent="0.25">
      <c r="A423">
        <v>21102114473</v>
      </c>
      <c r="B423">
        <v>0.17</v>
      </c>
      <c r="C423" t="s">
        <v>137</v>
      </c>
      <c r="D423" t="s">
        <v>137</v>
      </c>
      <c r="E423" t="s">
        <v>54</v>
      </c>
      <c r="F423" t="s">
        <v>54</v>
      </c>
      <c r="G423">
        <v>3</v>
      </c>
      <c r="H423" t="s">
        <v>55</v>
      </c>
      <c r="I423">
        <v>284700</v>
      </c>
      <c r="J423">
        <v>25300</v>
      </c>
      <c r="K423">
        <v>0.17</v>
      </c>
      <c r="L42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23">
        <v>0</v>
      </c>
      <c r="N423">
        <v>0</v>
      </c>
      <c r="O423">
        <v>0</v>
      </c>
      <c r="P423">
        <v>47108.068500000001</v>
      </c>
      <c r="Q423">
        <v>122298</v>
      </c>
      <c r="R423">
        <f>(Granger_Inventory[[#This Row],[ln_acres]]*Granger_Inventory[[#This Row],[coeff]])+Granger_Inventory[[#This Row],[const]]</f>
        <v>38824.535711229546</v>
      </c>
      <c r="S423" t="s">
        <v>62</v>
      </c>
      <c r="T423">
        <v>2</v>
      </c>
      <c r="U423" t="s">
        <v>64</v>
      </c>
      <c r="V423" t="s">
        <v>58</v>
      </c>
      <c r="W423">
        <v>0</v>
      </c>
      <c r="X423">
        <v>0</v>
      </c>
      <c r="Y423">
        <v>13</v>
      </c>
      <c r="Z423">
        <v>13</v>
      </c>
      <c r="AA423">
        <v>20</v>
      </c>
      <c r="AB423">
        <v>2000</v>
      </c>
      <c r="AC423">
        <v>1648</v>
      </c>
      <c r="AD423">
        <v>1136</v>
      </c>
      <c r="AE423">
        <v>512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20</v>
      </c>
      <c r="AO423">
        <v>0</v>
      </c>
      <c r="AP423">
        <v>8</v>
      </c>
      <c r="AQ423">
        <v>0</v>
      </c>
      <c r="AR423">
        <v>0</v>
      </c>
      <c r="AS423" t="s">
        <v>59</v>
      </c>
      <c r="AT423">
        <v>1</v>
      </c>
      <c r="AU423" t="s">
        <v>60</v>
      </c>
      <c r="AV423" t="s">
        <v>65</v>
      </c>
      <c r="AW423">
        <v>1</v>
      </c>
      <c r="AX423">
        <v>5</v>
      </c>
      <c r="AY423">
        <v>0</v>
      </c>
      <c r="AZ423">
        <v>9800</v>
      </c>
      <c r="BA423">
        <v>100</v>
      </c>
      <c r="BB423">
        <v>100</v>
      </c>
      <c r="BC423">
        <v>100</v>
      </c>
      <c r="BD423">
        <v>100</v>
      </c>
      <c r="BE423">
        <v>1</v>
      </c>
      <c r="BF423">
        <v>15000</v>
      </c>
      <c r="BG423">
        <v>1000</v>
      </c>
      <c r="BH423" s="8">
        <f>Granger_Inventory[[#This Row],[land_extract]]*Lookups!$B$3</f>
        <v>23128.971718879347</v>
      </c>
      <c r="BI423" s="8">
        <f>IF(Granger_Inventory[[#This Row],[bldg_style]]="",0,Lookups!$B$2)</f>
        <v>29703.559000000001</v>
      </c>
      <c r="BJ423" s="8">
        <f>_xlfn.IFNA(VLOOKUP(Granger_Inventory[[#This Row],[quality]],Lookups!$H$2:$J$14,3,FALSE),0)</f>
        <v>36568</v>
      </c>
      <c r="BK423" s="8">
        <f>_xlfn.IFNA(VLOOKUP(Granger_Inventory[[#This Row],[condition]],Lookups!$H$17:$J$24,3,FALSE),0)</f>
        <v>101774</v>
      </c>
      <c r="BL423" s="8">
        <f>Granger_Inventory[[#This Row],[Age]]*Lookups!$B$16</f>
        <v>-2695.3042999999998</v>
      </c>
      <c r="BM423" s="8">
        <f>Granger_Inventory[[#This Row],[living_area]]*Lookups!$B$17</f>
        <v>110865.754032</v>
      </c>
      <c r="BN423" s="8">
        <f>(Granger_Inventory[[#This Row],[att_gar]]+Granger_Inventory[[#This Row],[blt_gar]])*Lookups!$B$18</f>
        <v>0</v>
      </c>
      <c r="BO423" s="8">
        <f>Granger_Inventory[[#This Row],[Patio]]*Lookups!$B$19</f>
        <v>0</v>
      </c>
      <c r="BP423" s="8">
        <f>SUM(Granger_Inventory[[#This Row],[Intercept]:[Patio_Value]])*Granger_Inventory[[#This Row],[res_pct]]</f>
        <v>276216.00873200002</v>
      </c>
      <c r="BQ423" s="8">
        <f>Granger_Inventory[[#This Row],[land_value]]</f>
        <v>23128.971718879347</v>
      </c>
      <c r="BR423" s="4">
        <f>_xlfn.IFNA(VLOOKUP(Granger_Inventory[[#This Row],[quality]],Lookups!$A$25:$C$35,3,FALSE),1)</f>
        <v>0.99049976351917957</v>
      </c>
      <c r="BS423" s="4">
        <f>_xlfn.IFNA(VLOOKUP(Granger_Inventory[[#This Row],[condition]],Lookups!$A$38:$C$45,3,FALSE),1)</f>
        <v>0.99135053432734199</v>
      </c>
      <c r="BT423" s="4">
        <f>IF(Granger_Inventory[[#This Row],[decade]]="",1,_xlfn.IFNA(VLOOKUP(Granger_Inventory[[#This Row],[decade]],Lookups!$G$28:$I$42,3,FALSE),1))</f>
        <v>1.0159161060824455</v>
      </c>
      <c r="BU423" s="4">
        <f>_xlfn.IFNA(VLOOKUP(Granger_Inventory[[#This Row],[living_area_range]],Lookups!$A$48:$C$57,3,FALSE),1)</f>
        <v>0.97860968051050168</v>
      </c>
      <c r="BV423" s="4">
        <f>AVERAGE(Granger_Inventory[[#This Row],[qual_adj]:[living_range_adj]])</f>
        <v>0.99409402110986722</v>
      </c>
      <c r="BW423" s="8">
        <f>(Granger_Inventory[[#This Row],[sum_land]]-IF(Granger_Inventory[[#This Row],[no_utilities]]=1,12000,0))/IF(Granger_Inventory[[#This Row],[unbuildable]]=1,2,1)</f>
        <v>23128.971718879347</v>
      </c>
      <c r="BX423" s="8">
        <f>Granger_Inventory[[#This Row],[pre_res]]*Granger_Inventory[[#This Row],[overall_adj]]</f>
        <v>274584.68281531212</v>
      </c>
      <c r="BY42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23">
        <f>ROUND(Granger_Inventory[[#This Row],[detatched_value]]*Lookups!$I$45,-2)</f>
        <v>9300</v>
      </c>
      <c r="CA423">
        <f>IF(ROUND(Granger_Inventory[[#This Row],[adj_res]]*Lookups!$I$45,-2)&lt;Granger_Inventory[[#This Row],[min_res]],Granger_Inventory[[#This Row],[min_res]],ROUND(Granger_Inventory[[#This Row],[adj_res]]*Lookups!$I$45,-2))</f>
        <v>260900</v>
      </c>
      <c r="CB423">
        <f>Granger_Inventory[[#This Row],[final_det]]+Granger_Inventory[[#This Row],[final_res]]</f>
        <v>270200</v>
      </c>
      <c r="CC423">
        <f>Granger_Inventory[[#This Row],[final_land]]+Granger_Inventory[[#This Row],[final_imp]]+Granger_Inventory[[#This Row],[crop_value]]</f>
        <v>292200</v>
      </c>
      <c r="CE423" t="str">
        <f t="shared" si="6"/>
        <v>update valuation set market_land =22000, market_bldg=270200, market_total =292200, market_mdno =402, market_date ='9/10/2023' where link_id = (select link_id from parcel where parcel_year = '2024' and parcel_id = '21102114473');</v>
      </c>
    </row>
    <row r="424" spans="1:83" x14ac:dyDescent="0.25">
      <c r="A424">
        <v>21102114474</v>
      </c>
      <c r="B424">
        <v>0.17</v>
      </c>
      <c r="C424" t="s">
        <v>137</v>
      </c>
      <c r="D424" t="s">
        <v>137</v>
      </c>
      <c r="E424" t="s">
        <v>54</v>
      </c>
      <c r="F424" t="s">
        <v>54</v>
      </c>
      <c r="G424">
        <v>3</v>
      </c>
      <c r="H424" t="s">
        <v>55</v>
      </c>
      <c r="I424">
        <v>49700</v>
      </c>
      <c r="J424">
        <v>25300</v>
      </c>
      <c r="K424">
        <v>0.17</v>
      </c>
      <c r="L424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24">
        <v>0</v>
      </c>
      <c r="N424">
        <v>0</v>
      </c>
      <c r="O424">
        <v>0</v>
      </c>
      <c r="P424">
        <v>47108.068500000001</v>
      </c>
      <c r="Q424">
        <v>122298</v>
      </c>
      <c r="R424">
        <f>(Granger_Inventory[[#This Row],[ln_acres]]*Granger_Inventory[[#This Row],[coeff]])+Granger_Inventory[[#This Row],[const]]</f>
        <v>38824.535711229546</v>
      </c>
      <c r="S424" t="s">
        <v>59</v>
      </c>
      <c r="T424">
        <v>1</v>
      </c>
      <c r="U424" t="s">
        <v>78</v>
      </c>
      <c r="V424" t="s">
        <v>77</v>
      </c>
      <c r="W424">
        <v>0</v>
      </c>
      <c r="X424">
        <v>0</v>
      </c>
      <c r="Y424">
        <v>65</v>
      </c>
      <c r="Z424">
        <v>113</v>
      </c>
      <c r="AA424">
        <v>120</v>
      </c>
      <c r="AB424">
        <v>1000</v>
      </c>
      <c r="AC424">
        <v>692</v>
      </c>
      <c r="AD424">
        <v>692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75</v>
      </c>
      <c r="AN424">
        <v>0</v>
      </c>
      <c r="AO424">
        <v>75</v>
      </c>
      <c r="AP424">
        <v>5</v>
      </c>
      <c r="AQ424">
        <v>0</v>
      </c>
      <c r="AR424">
        <v>0</v>
      </c>
      <c r="AS424" t="s">
        <v>59</v>
      </c>
      <c r="AT424">
        <v>1</v>
      </c>
      <c r="AU424" t="s">
        <v>76</v>
      </c>
      <c r="AV424" t="s">
        <v>65</v>
      </c>
      <c r="AW424">
        <v>0</v>
      </c>
      <c r="AX424">
        <v>2</v>
      </c>
      <c r="AY424">
        <v>0</v>
      </c>
      <c r="AZ424">
        <v>0</v>
      </c>
      <c r="BA424">
        <v>100</v>
      </c>
      <c r="BB424">
        <v>100</v>
      </c>
      <c r="BC424">
        <v>100</v>
      </c>
      <c r="BD424">
        <v>100</v>
      </c>
      <c r="BE424">
        <v>1</v>
      </c>
      <c r="BF424">
        <v>15000</v>
      </c>
      <c r="BG424">
        <v>1000</v>
      </c>
      <c r="BH424" s="8">
        <f>Granger_Inventory[[#This Row],[land_extract]]*Lookups!$B$3</f>
        <v>23128.971718879347</v>
      </c>
      <c r="BI424" s="8">
        <f>IF(Granger_Inventory[[#This Row],[bldg_style]]="",0,Lookups!$B$2)</f>
        <v>29703.559000000001</v>
      </c>
      <c r="BJ424" s="8">
        <f>_xlfn.IFNA(VLOOKUP(Granger_Inventory[[#This Row],[quality]],Lookups!$H$2:$J$14,3,FALSE),0)</f>
        <v>23737.786340274597</v>
      </c>
      <c r="BK424" s="8">
        <f>_xlfn.IFNA(VLOOKUP(Granger_Inventory[[#This Row],[condition]],Lookups!$H$17:$J$24,3,FALSE),0)</f>
        <v>33736</v>
      </c>
      <c r="BL424" s="8">
        <f>Granger_Inventory[[#This Row],[Age]]*Lookups!$B$16</f>
        <v>-23428.4143</v>
      </c>
      <c r="BM424" s="8">
        <f>Granger_Inventory[[#This Row],[living_area]]*Lookups!$B$17</f>
        <v>46552.853027999998</v>
      </c>
      <c r="BN424" s="8">
        <f>(Granger_Inventory[[#This Row],[att_gar]]+Granger_Inventory[[#This Row],[blt_gar]])*Lookups!$B$18</f>
        <v>0</v>
      </c>
      <c r="BO424" s="8">
        <f>Granger_Inventory[[#This Row],[Patio]]*Lookups!$B$19</f>
        <v>4073.6321999999996</v>
      </c>
      <c r="BP424" s="8">
        <f>SUM(Granger_Inventory[[#This Row],[Intercept]:[Patio_Value]])*Granger_Inventory[[#This Row],[res_pct]]</f>
        <v>114375.41626827458</v>
      </c>
      <c r="BQ424" s="8">
        <f>Granger_Inventory[[#This Row],[land_value]]</f>
        <v>23128.971718879347</v>
      </c>
      <c r="BR424" s="4">
        <f>_xlfn.IFNA(VLOOKUP(Granger_Inventory[[#This Row],[quality]],Lookups!$A$25:$C$35,3,FALSE),1)</f>
        <v>0.77695375541795109</v>
      </c>
      <c r="BS424" s="4">
        <f>_xlfn.IFNA(VLOOKUP(Granger_Inventory[[#This Row],[condition]],Lookups!$A$38:$C$45,3,FALSE),1)</f>
        <v>0.92294678898076177</v>
      </c>
      <c r="BT424" s="4">
        <f>IF(Granger_Inventory[[#This Row],[decade]]="",1,_xlfn.IFNA(VLOOKUP(Granger_Inventory[[#This Row],[decade]],Lookups!$G$28:$I$42,3,FALSE),1))</f>
        <v>0.879441629375324</v>
      </c>
      <c r="BU424" s="4">
        <f>_xlfn.IFNA(VLOOKUP(Granger_Inventory[[#This Row],[living_area_range]],Lookups!$A$48:$C$57,3,FALSE),1)</f>
        <v>0.81272404900450645</v>
      </c>
      <c r="BV424" s="4">
        <f>AVERAGE(Granger_Inventory[[#This Row],[qual_adj]:[living_range_adj]])</f>
        <v>0.84801655569463574</v>
      </c>
      <c r="BW424" s="8">
        <f>(Granger_Inventory[[#This Row],[sum_land]]-IF(Granger_Inventory[[#This Row],[no_utilities]]=1,12000,0))/IF(Granger_Inventory[[#This Row],[unbuildable]]=1,2,1)</f>
        <v>23128.971718879347</v>
      </c>
      <c r="BX424" s="8">
        <f>Granger_Inventory[[#This Row],[pre_res]]*Granger_Inventory[[#This Row],[overall_adj]]</f>
        <v>96992.246559962412</v>
      </c>
      <c r="BY424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24">
        <f>ROUND(Granger_Inventory[[#This Row],[detatched_value]]*Lookups!$I$45,-2)</f>
        <v>0</v>
      </c>
      <c r="CA424">
        <f>IF(ROUND(Granger_Inventory[[#This Row],[adj_res]]*Lookups!$I$45,-2)&lt;Granger_Inventory[[#This Row],[min_res]],Granger_Inventory[[#This Row],[min_res]],ROUND(Granger_Inventory[[#This Row],[adj_res]]*Lookups!$I$45,-2))</f>
        <v>92100</v>
      </c>
      <c r="CB424">
        <f>Granger_Inventory[[#This Row],[final_det]]+Granger_Inventory[[#This Row],[final_res]]</f>
        <v>92100</v>
      </c>
      <c r="CC424">
        <f>Granger_Inventory[[#This Row],[final_land]]+Granger_Inventory[[#This Row],[final_imp]]+Granger_Inventory[[#This Row],[crop_value]]</f>
        <v>114100</v>
      </c>
      <c r="CE424" t="str">
        <f t="shared" si="6"/>
        <v>update valuation set market_land =22000, market_bldg=92100, market_total =114100, market_mdno =402, market_date ='9/10/2023' where link_id = (select link_id from parcel where parcel_year = '2024' and parcel_id = '21102114474');</v>
      </c>
    </row>
    <row r="425" spans="1:83" x14ac:dyDescent="0.25">
      <c r="A425">
        <v>21102114475</v>
      </c>
      <c r="B425">
        <v>0.34</v>
      </c>
      <c r="C425" t="s">
        <v>137</v>
      </c>
      <c r="D425" t="s">
        <v>137</v>
      </c>
      <c r="E425" t="s">
        <v>54</v>
      </c>
      <c r="F425" t="s">
        <v>54</v>
      </c>
      <c r="G425">
        <v>3</v>
      </c>
      <c r="H425" t="s">
        <v>55</v>
      </c>
      <c r="I425">
        <v>128800</v>
      </c>
      <c r="J425">
        <v>29200</v>
      </c>
      <c r="K425">
        <v>0.34</v>
      </c>
      <c r="L425">
        <f>IF(Granger_Inventory[[#This Row],[parcel_acres]]-Granger_Inventory[[#This Row],[non_valued_acres]] =0,0,LN(Granger_Inventory[[#This Row],[parcel_acres]]-Granger_Inventory[[#This Row],[non_valued_acres]]))</f>
        <v>-1.0788096613719298</v>
      </c>
      <c r="M425">
        <v>0</v>
      </c>
      <c r="N425">
        <v>0</v>
      </c>
      <c r="O425">
        <v>0</v>
      </c>
      <c r="P425">
        <v>47108.068500000001</v>
      </c>
      <c r="Q425">
        <v>122298</v>
      </c>
      <c r="R425">
        <f>(Granger_Inventory[[#This Row],[ln_acres]]*Granger_Inventory[[#This Row],[coeff]])+Granger_Inventory[[#This Row],[const]]</f>
        <v>71477.360573629325</v>
      </c>
      <c r="S425" t="s">
        <v>69</v>
      </c>
      <c r="T425">
        <v>1</v>
      </c>
      <c r="U425" t="s">
        <v>78</v>
      </c>
      <c r="V425" t="s">
        <v>72</v>
      </c>
      <c r="W425">
        <v>0</v>
      </c>
      <c r="X425">
        <v>0</v>
      </c>
      <c r="Y425">
        <v>38</v>
      </c>
      <c r="Z425">
        <v>93</v>
      </c>
      <c r="AA425">
        <v>100</v>
      </c>
      <c r="AB425">
        <v>1500</v>
      </c>
      <c r="AC425">
        <v>1333</v>
      </c>
      <c r="AD425">
        <v>1333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551</v>
      </c>
      <c r="AM425">
        <v>0</v>
      </c>
      <c r="AN425">
        <v>16</v>
      </c>
      <c r="AO425">
        <v>0</v>
      </c>
      <c r="AP425">
        <v>5</v>
      </c>
      <c r="AQ425">
        <v>0</v>
      </c>
      <c r="AR425">
        <v>0</v>
      </c>
      <c r="AS425" t="s">
        <v>59</v>
      </c>
      <c r="AT425">
        <v>1</v>
      </c>
      <c r="AU425" t="s">
        <v>68</v>
      </c>
      <c r="AV425" t="s">
        <v>65</v>
      </c>
      <c r="AW425">
        <v>0</v>
      </c>
      <c r="AX425">
        <v>2</v>
      </c>
      <c r="AY425">
        <v>0</v>
      </c>
      <c r="AZ425">
        <v>0</v>
      </c>
      <c r="BA425">
        <v>100</v>
      </c>
      <c r="BB425">
        <v>100</v>
      </c>
      <c r="BC425">
        <v>100</v>
      </c>
      <c r="BD425">
        <v>100</v>
      </c>
      <c r="BE425">
        <v>1</v>
      </c>
      <c r="BF425">
        <v>15000</v>
      </c>
      <c r="BG425">
        <v>1000</v>
      </c>
      <c r="BH425" s="8">
        <f>Granger_Inventory[[#This Row],[land_extract]]*Lookups!$B$3</f>
        <v>42581.265196416658</v>
      </c>
      <c r="BI425" s="8">
        <f>IF(Granger_Inventory[[#This Row],[bldg_style]]="",0,Lookups!$B$2)</f>
        <v>29703.559000000001</v>
      </c>
      <c r="BJ425" s="8">
        <f>_xlfn.IFNA(VLOOKUP(Granger_Inventory[[#This Row],[quality]],Lookups!$H$2:$J$14,3,FALSE),0)</f>
        <v>23737.786340274597</v>
      </c>
      <c r="BK425" s="8">
        <f>_xlfn.IFNA(VLOOKUP(Granger_Inventory[[#This Row],[condition]],Lookups!$H$17:$J$24,3,FALSE),0)</f>
        <v>94106</v>
      </c>
      <c r="BL425" s="8">
        <f>Granger_Inventory[[#This Row],[Age]]*Lookups!$B$16</f>
        <v>-19281.792300000001</v>
      </c>
      <c r="BM425" s="8">
        <f>Granger_Inventory[[#This Row],[living_area]]*Lookups!$B$17</f>
        <v>89674.787696999992</v>
      </c>
      <c r="BN425" s="8">
        <f>(Granger_Inventory[[#This Row],[att_gar]]+Granger_Inventory[[#This Row],[blt_gar]])*Lookups!$B$18</f>
        <v>0</v>
      </c>
      <c r="BO425" s="8">
        <f>Granger_Inventory[[#This Row],[Patio]]*Lookups!$B$19</f>
        <v>0</v>
      </c>
      <c r="BP425" s="8">
        <f>SUM(Granger_Inventory[[#This Row],[Intercept]:[Patio_Value]])*Granger_Inventory[[#This Row],[res_pct]]</f>
        <v>217940.34073727459</v>
      </c>
      <c r="BQ425" s="8">
        <f>Granger_Inventory[[#This Row],[land_value]]</f>
        <v>42581.265196416658</v>
      </c>
      <c r="BR425" s="4">
        <f>_xlfn.IFNA(VLOOKUP(Granger_Inventory[[#This Row],[quality]],Lookups!$A$25:$C$35,3,FALSE),1)</f>
        <v>0.77695375541795109</v>
      </c>
      <c r="BS425" s="4">
        <f>_xlfn.IFNA(VLOOKUP(Granger_Inventory[[#This Row],[condition]],Lookups!$A$38:$C$45,3,FALSE),1)</f>
        <v>0.98658583151544277</v>
      </c>
      <c r="BT425" s="4">
        <f>IF(Granger_Inventory[[#This Row],[decade]]="",1,_xlfn.IFNA(VLOOKUP(Granger_Inventory[[#This Row],[decade]],Lookups!$G$28:$I$42,3,FALSE),1))</f>
        <v>0.879441629375324</v>
      </c>
      <c r="BU425" s="4">
        <f>_xlfn.IFNA(VLOOKUP(Granger_Inventory[[#This Row],[living_area_range]],Lookups!$A$48:$C$57,3,FALSE),1)</f>
        <v>0.97960506760539345</v>
      </c>
      <c r="BV425" s="4">
        <f>AVERAGE(Granger_Inventory[[#This Row],[qual_adj]:[living_range_adj]])</f>
        <v>0.90564657097852785</v>
      </c>
      <c r="BW425" s="8">
        <f>(Granger_Inventory[[#This Row],[sum_land]]-IF(Granger_Inventory[[#This Row],[no_utilities]]=1,12000,0))/IF(Granger_Inventory[[#This Row],[unbuildable]]=1,2,1)</f>
        <v>42581.265196416658</v>
      </c>
      <c r="BX425" s="8">
        <f>Granger_Inventory[[#This Row],[pre_res]]*Granger_Inventory[[#This Row],[overall_adj]]</f>
        <v>197376.9222666047</v>
      </c>
      <c r="BY425">
        <f>IF(ROUND(Granger_Inventory[[#This Row],[adj_land]]*Lookups!$I$45,-2)&lt;Granger_Inventory[[#This Row],[min_land]],Granger_Inventory[[#This Row],[min_land]],ROUND(Granger_Inventory[[#This Row],[adj_land]]*Lookups!$I$45,-2))</f>
        <v>40500</v>
      </c>
      <c r="BZ425">
        <f>ROUND(Granger_Inventory[[#This Row],[detatched_value]]*Lookups!$I$45,-2)</f>
        <v>0</v>
      </c>
      <c r="CA425">
        <f>IF(ROUND(Granger_Inventory[[#This Row],[adj_res]]*Lookups!$I$45,-2)&lt;Granger_Inventory[[#This Row],[min_res]],Granger_Inventory[[#This Row],[min_res]],ROUND(Granger_Inventory[[#This Row],[adj_res]]*Lookups!$I$45,-2))</f>
        <v>187500</v>
      </c>
      <c r="CB425">
        <f>Granger_Inventory[[#This Row],[final_det]]+Granger_Inventory[[#This Row],[final_res]]</f>
        <v>187500</v>
      </c>
      <c r="CC425">
        <f>Granger_Inventory[[#This Row],[final_land]]+Granger_Inventory[[#This Row],[final_imp]]+Granger_Inventory[[#This Row],[crop_value]]</f>
        <v>228000</v>
      </c>
      <c r="CE425" t="str">
        <f t="shared" si="6"/>
        <v>update valuation set market_land =40500, market_bldg=187500, market_total =228000, market_mdno =402, market_date ='9/10/2023' where link_id = (select link_id from parcel where parcel_year = '2024' and parcel_id = '21102114475');</v>
      </c>
    </row>
    <row r="426" spans="1:83" x14ac:dyDescent="0.25">
      <c r="A426">
        <v>21102114477</v>
      </c>
      <c r="B426">
        <v>0.17</v>
      </c>
      <c r="C426" t="s">
        <v>137</v>
      </c>
      <c r="D426" t="s">
        <v>137</v>
      </c>
      <c r="E426" t="s">
        <v>54</v>
      </c>
      <c r="F426" t="s">
        <v>54</v>
      </c>
      <c r="G426">
        <v>3</v>
      </c>
      <c r="H426" t="s">
        <v>55</v>
      </c>
      <c r="I426">
        <v>148900</v>
      </c>
      <c r="J426">
        <v>25300</v>
      </c>
      <c r="K426">
        <v>0.17</v>
      </c>
      <c r="L42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26">
        <v>0</v>
      </c>
      <c r="N426">
        <v>0</v>
      </c>
      <c r="O426">
        <v>0</v>
      </c>
      <c r="P426">
        <v>47108.068500000001</v>
      </c>
      <c r="Q426">
        <v>122298</v>
      </c>
      <c r="R426">
        <f>(Granger_Inventory[[#This Row],[ln_acres]]*Granger_Inventory[[#This Row],[coeff]])+Granger_Inventory[[#This Row],[const]]</f>
        <v>38824.535711229546</v>
      </c>
      <c r="S426" t="s">
        <v>69</v>
      </c>
      <c r="T426">
        <v>1</v>
      </c>
      <c r="U426" t="s">
        <v>78</v>
      </c>
      <c r="V426" t="s">
        <v>72</v>
      </c>
      <c r="W426">
        <v>0</v>
      </c>
      <c r="X426">
        <v>0</v>
      </c>
      <c r="Y426">
        <v>53</v>
      </c>
      <c r="Z426">
        <v>93</v>
      </c>
      <c r="AA426">
        <v>100</v>
      </c>
      <c r="AB426">
        <v>1500</v>
      </c>
      <c r="AC426">
        <v>1082</v>
      </c>
      <c r="AD426">
        <v>1082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270</v>
      </c>
      <c r="AN426">
        <v>36</v>
      </c>
      <c r="AO426">
        <v>270</v>
      </c>
      <c r="AP426">
        <v>5</v>
      </c>
      <c r="AQ426">
        <v>0</v>
      </c>
      <c r="AR426">
        <v>0</v>
      </c>
      <c r="AS426" t="s">
        <v>59</v>
      </c>
      <c r="AT426">
        <v>1</v>
      </c>
      <c r="AU426" t="s">
        <v>76</v>
      </c>
      <c r="AV426" t="s">
        <v>65</v>
      </c>
      <c r="AW426">
        <v>0</v>
      </c>
      <c r="AX426">
        <v>3</v>
      </c>
      <c r="AY426">
        <v>0</v>
      </c>
      <c r="AZ426">
        <v>25400</v>
      </c>
      <c r="BA426">
        <v>100</v>
      </c>
      <c r="BB426">
        <v>100</v>
      </c>
      <c r="BC426">
        <v>100</v>
      </c>
      <c r="BD426">
        <v>100</v>
      </c>
      <c r="BE426">
        <v>1</v>
      </c>
      <c r="BF426">
        <v>15000</v>
      </c>
      <c r="BG426">
        <v>1000</v>
      </c>
      <c r="BH426" s="8">
        <f>Granger_Inventory[[#This Row],[land_extract]]*Lookups!$B$3</f>
        <v>23128.971718879347</v>
      </c>
      <c r="BI426" s="8">
        <f>IF(Granger_Inventory[[#This Row],[bldg_style]]="",0,Lookups!$B$2)</f>
        <v>29703.559000000001</v>
      </c>
      <c r="BJ426" s="8">
        <f>_xlfn.IFNA(VLOOKUP(Granger_Inventory[[#This Row],[quality]],Lookups!$H$2:$J$14,3,FALSE),0)</f>
        <v>23737.786340274597</v>
      </c>
      <c r="BK426" s="8">
        <f>_xlfn.IFNA(VLOOKUP(Granger_Inventory[[#This Row],[condition]],Lookups!$H$17:$J$24,3,FALSE),0)</f>
        <v>94106</v>
      </c>
      <c r="BL426" s="8">
        <f>Granger_Inventory[[#This Row],[Age]]*Lookups!$B$16</f>
        <v>-19281.792300000001</v>
      </c>
      <c r="BM426" s="8">
        <f>Granger_Inventory[[#This Row],[living_area]]*Lookups!$B$17</f>
        <v>72789.287538000004</v>
      </c>
      <c r="BN426" s="8">
        <f>(Granger_Inventory[[#This Row],[att_gar]]+Granger_Inventory[[#This Row],[blt_gar]])*Lookups!$B$18</f>
        <v>0</v>
      </c>
      <c r="BO426" s="8">
        <f>Granger_Inventory[[#This Row],[Patio]]*Lookups!$B$19</f>
        <v>14665.075919999999</v>
      </c>
      <c r="BP426" s="8">
        <f>SUM(Granger_Inventory[[#This Row],[Intercept]:[Patio_Value]])*Granger_Inventory[[#This Row],[res_pct]]</f>
        <v>215719.9164982746</v>
      </c>
      <c r="BQ426" s="8">
        <f>Granger_Inventory[[#This Row],[land_value]]</f>
        <v>23128.971718879347</v>
      </c>
      <c r="BR426" s="4">
        <f>_xlfn.IFNA(VLOOKUP(Granger_Inventory[[#This Row],[quality]],Lookups!$A$25:$C$35,3,FALSE),1)</f>
        <v>0.77695375541795109</v>
      </c>
      <c r="BS426" s="4">
        <f>_xlfn.IFNA(VLOOKUP(Granger_Inventory[[#This Row],[condition]],Lookups!$A$38:$C$45,3,FALSE),1)</f>
        <v>0.98658583151544277</v>
      </c>
      <c r="BT426" s="4">
        <f>IF(Granger_Inventory[[#This Row],[decade]]="",1,_xlfn.IFNA(VLOOKUP(Granger_Inventory[[#This Row],[decade]],Lookups!$G$28:$I$42,3,FALSE),1))</f>
        <v>0.879441629375324</v>
      </c>
      <c r="BU426" s="4">
        <f>_xlfn.IFNA(VLOOKUP(Granger_Inventory[[#This Row],[living_area_range]],Lookups!$A$48:$C$57,3,FALSE),1)</f>
        <v>0.97960506760539345</v>
      </c>
      <c r="BV426" s="4">
        <f>AVERAGE(Granger_Inventory[[#This Row],[qual_adj]:[living_range_adj]])</f>
        <v>0.90564657097852785</v>
      </c>
      <c r="BW426" s="8">
        <f>(Granger_Inventory[[#This Row],[sum_land]]-IF(Granger_Inventory[[#This Row],[no_utilities]]=1,12000,0))/IF(Granger_Inventory[[#This Row],[unbuildable]]=1,2,1)</f>
        <v>23128.971718879347</v>
      </c>
      <c r="BX426" s="8">
        <f>Granger_Inventory[[#This Row],[pre_res]]*Granger_Inventory[[#This Row],[overall_adj]]</f>
        <v>195366.00266843676</v>
      </c>
      <c r="BY42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26">
        <f>ROUND(Granger_Inventory[[#This Row],[detatched_value]]*Lookups!$I$45,-2)</f>
        <v>24100</v>
      </c>
      <c r="CA426">
        <f>IF(ROUND(Granger_Inventory[[#This Row],[adj_res]]*Lookups!$I$45,-2)&lt;Granger_Inventory[[#This Row],[min_res]],Granger_Inventory[[#This Row],[min_res]],ROUND(Granger_Inventory[[#This Row],[adj_res]]*Lookups!$I$45,-2))</f>
        <v>185600</v>
      </c>
      <c r="CB426">
        <f>Granger_Inventory[[#This Row],[final_det]]+Granger_Inventory[[#This Row],[final_res]]</f>
        <v>209700</v>
      </c>
      <c r="CC426">
        <f>Granger_Inventory[[#This Row],[final_land]]+Granger_Inventory[[#This Row],[final_imp]]+Granger_Inventory[[#This Row],[crop_value]]</f>
        <v>231700</v>
      </c>
      <c r="CE426" t="str">
        <f t="shared" si="6"/>
        <v>update valuation set market_land =22000, market_bldg=209700, market_total =231700, market_mdno =402, market_date ='9/10/2023' where link_id = (select link_id from parcel where parcel_year = '2024' and parcel_id = '21102114477');</v>
      </c>
    </row>
    <row r="427" spans="1:83" x14ac:dyDescent="0.25">
      <c r="A427">
        <v>21102114478</v>
      </c>
      <c r="B427">
        <v>0.17</v>
      </c>
      <c r="C427" t="s">
        <v>137</v>
      </c>
      <c r="D427" t="s">
        <v>137</v>
      </c>
      <c r="E427" t="s">
        <v>54</v>
      </c>
      <c r="F427" t="s">
        <v>54</v>
      </c>
      <c r="G427">
        <v>3</v>
      </c>
      <c r="H427" t="s">
        <v>55</v>
      </c>
      <c r="I427">
        <v>81000</v>
      </c>
      <c r="J427">
        <v>25300</v>
      </c>
      <c r="K427">
        <v>0.17</v>
      </c>
      <c r="L427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27">
        <v>0</v>
      </c>
      <c r="N427">
        <v>0</v>
      </c>
      <c r="O427">
        <v>0</v>
      </c>
      <c r="P427">
        <v>47108.068500000001</v>
      </c>
      <c r="Q427">
        <v>122298</v>
      </c>
      <c r="R427">
        <f>(Granger_Inventory[[#This Row],[ln_acres]]*Granger_Inventory[[#This Row],[coeff]])+Granger_Inventory[[#This Row],[const]]</f>
        <v>38824.535711229546</v>
      </c>
      <c r="S427" t="s">
        <v>56</v>
      </c>
      <c r="T427">
        <v>1</v>
      </c>
      <c r="U427" t="s">
        <v>78</v>
      </c>
      <c r="V427" t="s">
        <v>79</v>
      </c>
      <c r="W427">
        <v>0</v>
      </c>
      <c r="X427">
        <v>0</v>
      </c>
      <c r="Y427">
        <v>48</v>
      </c>
      <c r="Z427">
        <v>63</v>
      </c>
      <c r="AA427">
        <v>70</v>
      </c>
      <c r="AB427">
        <v>1500</v>
      </c>
      <c r="AC427">
        <v>1247</v>
      </c>
      <c r="AD427">
        <v>1247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232</v>
      </c>
      <c r="AN427">
        <v>60</v>
      </c>
      <c r="AO427">
        <v>232</v>
      </c>
      <c r="AP427">
        <v>5</v>
      </c>
      <c r="AQ427">
        <v>0</v>
      </c>
      <c r="AR427">
        <v>0</v>
      </c>
      <c r="AS427" t="s">
        <v>59</v>
      </c>
      <c r="AT427">
        <v>1</v>
      </c>
      <c r="AU427" t="s">
        <v>76</v>
      </c>
      <c r="AV427" t="s">
        <v>65</v>
      </c>
      <c r="AW427">
        <v>0</v>
      </c>
      <c r="AX427">
        <v>3</v>
      </c>
      <c r="AY427">
        <v>0</v>
      </c>
      <c r="AZ427">
        <v>6200</v>
      </c>
      <c r="BA427">
        <v>100</v>
      </c>
      <c r="BB427">
        <v>100</v>
      </c>
      <c r="BC427">
        <v>100</v>
      </c>
      <c r="BD427">
        <v>100</v>
      </c>
      <c r="BE427">
        <v>1</v>
      </c>
      <c r="BF427">
        <v>15000</v>
      </c>
      <c r="BG427">
        <v>1000</v>
      </c>
      <c r="BH427" s="8">
        <f>Granger_Inventory[[#This Row],[land_extract]]*Lookups!$B$3</f>
        <v>23128.971718879347</v>
      </c>
      <c r="BI427" s="8">
        <f>IF(Granger_Inventory[[#This Row],[bldg_style]]="",0,Lookups!$B$2)</f>
        <v>29703.559000000001</v>
      </c>
      <c r="BJ427" s="8">
        <f>_xlfn.IFNA(VLOOKUP(Granger_Inventory[[#This Row],[quality]],Lookups!$H$2:$J$14,3,FALSE),0)</f>
        <v>23737.786340274597</v>
      </c>
      <c r="BK427" s="8">
        <f>_xlfn.IFNA(VLOOKUP(Granger_Inventory[[#This Row],[condition]],Lookups!$H$17:$J$24,3,FALSE),0)</f>
        <v>86727</v>
      </c>
      <c r="BL427" s="8">
        <f>Granger_Inventory[[#This Row],[Age]]*Lookups!$B$16</f>
        <v>-13061.8593</v>
      </c>
      <c r="BM427" s="8">
        <f>Granger_Inventory[[#This Row],[living_area]]*Lookups!$B$17</f>
        <v>83889.317523000005</v>
      </c>
      <c r="BN427" s="8">
        <f>(Granger_Inventory[[#This Row],[att_gar]]+Granger_Inventory[[#This Row],[blt_gar]])*Lookups!$B$18</f>
        <v>0</v>
      </c>
      <c r="BO427" s="8">
        <f>Granger_Inventory[[#This Row],[Patio]]*Lookups!$B$19</f>
        <v>12601.102272</v>
      </c>
      <c r="BP427" s="8">
        <f>SUM(Granger_Inventory[[#This Row],[Intercept]:[Patio_Value]])*Granger_Inventory[[#This Row],[res_pct]]</f>
        <v>223596.90583527461</v>
      </c>
      <c r="BQ427" s="8">
        <f>Granger_Inventory[[#This Row],[land_value]]</f>
        <v>23128.971718879347</v>
      </c>
      <c r="BR427" s="4">
        <f>_xlfn.IFNA(VLOOKUP(Granger_Inventory[[#This Row],[quality]],Lookups!$A$25:$C$35,3,FALSE),1)</f>
        <v>0.77695375541795109</v>
      </c>
      <c r="BS427" s="4">
        <f>_xlfn.IFNA(VLOOKUP(Granger_Inventory[[#This Row],[condition]],Lookups!$A$38:$C$45,3,FALSE),1)</f>
        <v>0.85322907131620684</v>
      </c>
      <c r="BT427" s="4">
        <f>IF(Granger_Inventory[[#This Row],[decade]]="",1,_xlfn.IFNA(VLOOKUP(Granger_Inventory[[#This Row],[decade]],Lookups!$G$28:$I$42,3,FALSE),1))</f>
        <v>1.0270382440255921</v>
      </c>
      <c r="BU427" s="4">
        <f>_xlfn.IFNA(VLOOKUP(Granger_Inventory[[#This Row],[living_area_range]],Lookups!$A$48:$C$57,3,FALSE),1)</f>
        <v>0.97960506760539345</v>
      </c>
      <c r="BV427" s="4">
        <f>AVERAGE(Granger_Inventory[[#This Row],[qual_adj]:[living_range_adj]])</f>
        <v>0.90920653459128586</v>
      </c>
      <c r="BW427" s="8">
        <f>(Granger_Inventory[[#This Row],[sum_land]]-IF(Granger_Inventory[[#This Row],[no_utilities]]=1,12000,0))/IF(Granger_Inventory[[#This Row],[unbuildable]]=1,2,1)</f>
        <v>23128.971718879347</v>
      </c>
      <c r="BX427" s="8">
        <f>Granger_Inventory[[#This Row],[pre_res]]*Granger_Inventory[[#This Row],[overall_adj]]</f>
        <v>203295.7678998241</v>
      </c>
      <c r="BY427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27">
        <f>ROUND(Granger_Inventory[[#This Row],[detatched_value]]*Lookups!$I$45,-2)</f>
        <v>5900</v>
      </c>
      <c r="CA427">
        <f>IF(ROUND(Granger_Inventory[[#This Row],[adj_res]]*Lookups!$I$45,-2)&lt;Granger_Inventory[[#This Row],[min_res]],Granger_Inventory[[#This Row],[min_res]],ROUND(Granger_Inventory[[#This Row],[adj_res]]*Lookups!$I$45,-2))</f>
        <v>193100</v>
      </c>
      <c r="CB427">
        <f>Granger_Inventory[[#This Row],[final_det]]+Granger_Inventory[[#This Row],[final_res]]</f>
        <v>199000</v>
      </c>
      <c r="CC427">
        <f>Granger_Inventory[[#This Row],[final_land]]+Granger_Inventory[[#This Row],[final_imp]]+Granger_Inventory[[#This Row],[crop_value]]</f>
        <v>221000</v>
      </c>
      <c r="CE427" t="str">
        <f t="shared" si="6"/>
        <v>update valuation set market_land =22000, market_bldg=199000, market_total =221000, market_mdno =402, market_date ='9/10/2023' where link_id = (select link_id from parcel where parcel_year = '2024' and parcel_id = '21102114478');</v>
      </c>
    </row>
    <row r="428" spans="1:83" x14ac:dyDescent="0.25">
      <c r="A428">
        <v>21102114491</v>
      </c>
      <c r="B428">
        <v>0.24</v>
      </c>
      <c r="C428" t="s">
        <v>137</v>
      </c>
      <c r="D428" t="s">
        <v>137</v>
      </c>
      <c r="E428" t="s">
        <v>54</v>
      </c>
      <c r="F428" t="s">
        <v>54</v>
      </c>
      <c r="G428">
        <v>3</v>
      </c>
      <c r="H428" t="s">
        <v>55</v>
      </c>
      <c r="I428">
        <v>99300</v>
      </c>
      <c r="J428">
        <v>27200</v>
      </c>
      <c r="K428">
        <v>0.24</v>
      </c>
      <c r="L428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28">
        <v>0</v>
      </c>
      <c r="N428">
        <v>0</v>
      </c>
      <c r="O428">
        <v>0</v>
      </c>
      <c r="P428">
        <v>47108.068500000001</v>
      </c>
      <c r="Q428">
        <v>122298</v>
      </c>
      <c r="R428">
        <f>(Granger_Inventory[[#This Row],[ln_acres]]*Granger_Inventory[[#This Row],[coeff]])+Granger_Inventory[[#This Row],[const]]</f>
        <v>55069.304961033646</v>
      </c>
      <c r="S428" t="s">
        <v>69</v>
      </c>
      <c r="T428">
        <v>1</v>
      </c>
      <c r="U428" t="s">
        <v>78</v>
      </c>
      <c r="V428" t="s">
        <v>72</v>
      </c>
      <c r="W428">
        <v>0</v>
      </c>
      <c r="X428">
        <v>0</v>
      </c>
      <c r="Y428">
        <v>46</v>
      </c>
      <c r="Z428">
        <v>53</v>
      </c>
      <c r="AA428">
        <v>60</v>
      </c>
      <c r="AB428">
        <v>1000</v>
      </c>
      <c r="AC428">
        <v>891</v>
      </c>
      <c r="AD428">
        <v>891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144</v>
      </c>
      <c r="AN428">
        <v>0</v>
      </c>
      <c r="AO428">
        <v>144</v>
      </c>
      <c r="AP428">
        <v>5</v>
      </c>
      <c r="AQ428">
        <v>0</v>
      </c>
      <c r="AR428">
        <v>0</v>
      </c>
      <c r="AS428" t="s">
        <v>59</v>
      </c>
      <c r="AT428">
        <v>1</v>
      </c>
      <c r="AU428" t="s">
        <v>76</v>
      </c>
      <c r="AV428" t="s">
        <v>65</v>
      </c>
      <c r="AW428">
        <v>0</v>
      </c>
      <c r="AX428">
        <v>2</v>
      </c>
      <c r="AY428">
        <v>0</v>
      </c>
      <c r="AZ428">
        <v>0</v>
      </c>
      <c r="BA428">
        <v>100</v>
      </c>
      <c r="BB428">
        <v>100</v>
      </c>
      <c r="BC428">
        <v>100</v>
      </c>
      <c r="BD428">
        <v>100</v>
      </c>
      <c r="BE428">
        <v>1</v>
      </c>
      <c r="BF428">
        <v>15000</v>
      </c>
      <c r="BG428">
        <v>1000</v>
      </c>
      <c r="BH428" s="8">
        <f>Granger_Inventory[[#This Row],[land_extract]]*Lookups!$B$3</f>
        <v>32806.481099880541</v>
      </c>
      <c r="BI428" s="8">
        <f>IF(Granger_Inventory[[#This Row],[bldg_style]]="",0,Lookups!$B$2)</f>
        <v>29703.559000000001</v>
      </c>
      <c r="BJ428" s="8">
        <f>_xlfn.IFNA(VLOOKUP(Granger_Inventory[[#This Row],[quality]],Lookups!$H$2:$J$14,3,FALSE),0)</f>
        <v>23737.786340274597</v>
      </c>
      <c r="BK428" s="8">
        <f>_xlfn.IFNA(VLOOKUP(Granger_Inventory[[#This Row],[condition]],Lookups!$H$17:$J$24,3,FALSE),0)</f>
        <v>94106</v>
      </c>
      <c r="BL428" s="8">
        <f>Granger_Inventory[[#This Row],[Age]]*Lookups!$B$16</f>
        <v>-10988.5483</v>
      </c>
      <c r="BM428" s="8">
        <f>Granger_Inventory[[#This Row],[living_area]]*Lookups!$B$17</f>
        <v>59940.161918999998</v>
      </c>
      <c r="BN428" s="8">
        <f>(Granger_Inventory[[#This Row],[att_gar]]+Granger_Inventory[[#This Row],[blt_gar]])*Lookups!$B$18</f>
        <v>0</v>
      </c>
      <c r="BO428" s="8">
        <f>Granger_Inventory[[#This Row],[Patio]]*Lookups!$B$19</f>
        <v>7821.3738239999993</v>
      </c>
      <c r="BP428" s="8">
        <f>SUM(Granger_Inventory[[#This Row],[Intercept]:[Patio_Value]])*Granger_Inventory[[#This Row],[res_pct]]</f>
        <v>204320.33278327461</v>
      </c>
      <c r="BQ428" s="8">
        <f>Granger_Inventory[[#This Row],[land_value]]</f>
        <v>32806.481099880541</v>
      </c>
      <c r="BR428" s="4">
        <f>_xlfn.IFNA(VLOOKUP(Granger_Inventory[[#This Row],[quality]],Lookups!$A$25:$C$35,3,FALSE),1)</f>
        <v>0.77695375541795109</v>
      </c>
      <c r="BS428" s="4">
        <f>_xlfn.IFNA(VLOOKUP(Granger_Inventory[[#This Row],[condition]],Lookups!$A$38:$C$45,3,FALSE),1)</f>
        <v>0.98658583151544277</v>
      </c>
      <c r="BT428" s="4">
        <f>IF(Granger_Inventory[[#This Row],[decade]]="",1,_xlfn.IFNA(VLOOKUP(Granger_Inventory[[#This Row],[decade]],Lookups!$G$28:$I$42,3,FALSE),1))</f>
        <v>0.86581421791274704</v>
      </c>
      <c r="BU428" s="4">
        <f>_xlfn.IFNA(VLOOKUP(Granger_Inventory[[#This Row],[living_area_range]],Lookups!$A$48:$C$57,3,FALSE),1)</f>
        <v>0.81272404900450645</v>
      </c>
      <c r="BV428" s="4">
        <f>AVERAGE(Granger_Inventory[[#This Row],[qual_adj]:[living_range_adj]])</f>
        <v>0.86051946346266184</v>
      </c>
      <c r="BW428" s="8">
        <f>(Granger_Inventory[[#This Row],[sum_land]]-IF(Granger_Inventory[[#This Row],[no_utilities]]=1,12000,0))/IF(Granger_Inventory[[#This Row],[unbuildable]]=1,2,1)</f>
        <v>32806.481099880541</v>
      </c>
      <c r="BX428" s="8">
        <f>Granger_Inventory[[#This Row],[pre_res]]*Granger_Inventory[[#This Row],[overall_adj]]</f>
        <v>175821.62314117598</v>
      </c>
      <c r="BY428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28">
        <f>ROUND(Granger_Inventory[[#This Row],[detatched_value]]*Lookups!$I$45,-2)</f>
        <v>0</v>
      </c>
      <c r="CA428">
        <f>IF(ROUND(Granger_Inventory[[#This Row],[adj_res]]*Lookups!$I$45,-2)&lt;Granger_Inventory[[#This Row],[min_res]],Granger_Inventory[[#This Row],[min_res]],ROUND(Granger_Inventory[[#This Row],[adj_res]]*Lookups!$I$45,-2))</f>
        <v>167000</v>
      </c>
      <c r="CB428">
        <f>Granger_Inventory[[#This Row],[final_det]]+Granger_Inventory[[#This Row],[final_res]]</f>
        <v>167000</v>
      </c>
      <c r="CC428">
        <f>Granger_Inventory[[#This Row],[final_land]]+Granger_Inventory[[#This Row],[final_imp]]+Granger_Inventory[[#This Row],[crop_value]]</f>
        <v>198200</v>
      </c>
      <c r="CE428" t="str">
        <f t="shared" si="6"/>
        <v>update valuation set market_land =31200, market_bldg=167000, market_total =198200, market_mdno =402, market_date ='9/10/2023' where link_id = (select link_id from parcel where parcel_year = '2024' and parcel_id = '21102114491');</v>
      </c>
    </row>
    <row r="429" spans="1:83" x14ac:dyDescent="0.25">
      <c r="A429">
        <v>21102114493</v>
      </c>
      <c r="B429">
        <v>0.24</v>
      </c>
      <c r="C429">
        <v>10499</v>
      </c>
      <c r="D429" t="s">
        <v>137</v>
      </c>
      <c r="E429" t="s">
        <v>54</v>
      </c>
      <c r="F429" t="s">
        <v>54</v>
      </c>
      <c r="G429">
        <v>3</v>
      </c>
      <c r="H429" t="s">
        <v>55</v>
      </c>
      <c r="I429">
        <v>120300</v>
      </c>
      <c r="J429">
        <v>27200</v>
      </c>
      <c r="K429">
        <v>0.24</v>
      </c>
      <c r="L429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29">
        <v>0</v>
      </c>
      <c r="N429">
        <v>0</v>
      </c>
      <c r="O429">
        <v>0</v>
      </c>
      <c r="P429">
        <v>47108.068500000001</v>
      </c>
      <c r="Q429">
        <v>122298</v>
      </c>
      <c r="R429">
        <f>(Granger_Inventory[[#This Row],[ln_acres]]*Granger_Inventory[[#This Row],[coeff]])+Granger_Inventory[[#This Row],[const]]</f>
        <v>55069.304961033646</v>
      </c>
      <c r="S429" t="s">
        <v>69</v>
      </c>
      <c r="T429">
        <v>1</v>
      </c>
      <c r="U429" t="s">
        <v>106</v>
      </c>
      <c r="V429" t="s">
        <v>77</v>
      </c>
      <c r="W429">
        <v>0</v>
      </c>
      <c r="X429">
        <v>0</v>
      </c>
      <c r="Y429">
        <v>50</v>
      </c>
      <c r="Z429">
        <v>73</v>
      </c>
      <c r="AA429">
        <v>80</v>
      </c>
      <c r="AB429">
        <v>2000</v>
      </c>
      <c r="AC429">
        <v>1650</v>
      </c>
      <c r="AD429">
        <v>1650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5</v>
      </c>
      <c r="AQ429">
        <v>1</v>
      </c>
      <c r="AR429">
        <v>0</v>
      </c>
      <c r="AS429" t="s">
        <v>59</v>
      </c>
      <c r="AT429">
        <v>0</v>
      </c>
      <c r="AU429" t="s">
        <v>83</v>
      </c>
      <c r="AV429" t="s">
        <v>65</v>
      </c>
      <c r="AW429">
        <v>0</v>
      </c>
      <c r="AX429">
        <v>3</v>
      </c>
      <c r="AY429">
        <v>0</v>
      </c>
      <c r="AZ429">
        <v>0</v>
      </c>
      <c r="BA429">
        <v>100</v>
      </c>
      <c r="BB429">
        <v>100</v>
      </c>
      <c r="BC429">
        <v>100</v>
      </c>
      <c r="BD429">
        <v>100</v>
      </c>
      <c r="BE429">
        <v>1</v>
      </c>
      <c r="BF429">
        <v>15000</v>
      </c>
      <c r="BG429">
        <v>1000</v>
      </c>
      <c r="BH429" s="8">
        <f>Granger_Inventory[[#This Row],[land_extract]]*Lookups!$B$3</f>
        <v>32806.481099880541</v>
      </c>
      <c r="BI429" s="8">
        <f>IF(Granger_Inventory[[#This Row],[bldg_style]]="",0,Lookups!$B$2)</f>
        <v>29703.559000000001</v>
      </c>
      <c r="BJ429" s="8">
        <f>_xlfn.IFNA(VLOOKUP(Granger_Inventory[[#This Row],[quality]],Lookups!$H$2:$J$14,3,FALSE),0)</f>
        <v>17985.540667792327</v>
      </c>
      <c r="BK429" s="8">
        <f>_xlfn.IFNA(VLOOKUP(Granger_Inventory[[#This Row],[condition]],Lookups!$H$17:$J$24,3,FALSE),0)</f>
        <v>33736</v>
      </c>
      <c r="BL429" s="8">
        <f>Granger_Inventory[[#This Row],[Age]]*Lookups!$B$16</f>
        <v>-15135.1703</v>
      </c>
      <c r="BM429" s="8">
        <f>Granger_Inventory[[#This Row],[living_area]]*Lookups!$B$17</f>
        <v>111000.29985</v>
      </c>
      <c r="BN429" s="8">
        <f>(Granger_Inventory[[#This Row],[att_gar]]+Granger_Inventory[[#This Row],[blt_gar]])*Lookups!$B$18</f>
        <v>0</v>
      </c>
      <c r="BO429" s="8">
        <f>Granger_Inventory[[#This Row],[Patio]]*Lookups!$B$19</f>
        <v>0</v>
      </c>
      <c r="BP429" s="8">
        <f>SUM(Granger_Inventory[[#This Row],[Intercept]:[Patio_Value]])*Granger_Inventory[[#This Row],[res_pct]]</f>
        <v>177290.22921779234</v>
      </c>
      <c r="BQ429" s="8">
        <f>Granger_Inventory[[#This Row],[land_value]]</f>
        <v>32806.481099880541</v>
      </c>
      <c r="BR429" s="4">
        <f>_xlfn.IFNA(VLOOKUP(Granger_Inventory[[#This Row],[quality]],Lookups!$A$25:$C$35,3,FALSE),1)</f>
        <v>0.77695375541795109</v>
      </c>
      <c r="BS429" s="4">
        <f>_xlfn.IFNA(VLOOKUP(Granger_Inventory[[#This Row],[condition]],Lookups!$A$38:$C$45,3,FALSE),1)</f>
        <v>0.92294678898076177</v>
      </c>
      <c r="BT429" s="4">
        <f>IF(Granger_Inventory[[#This Row],[decade]]="",1,_xlfn.IFNA(VLOOKUP(Granger_Inventory[[#This Row],[decade]],Lookups!$G$28:$I$42,3,FALSE),1))</f>
        <v>0.76006056002554967</v>
      </c>
      <c r="BU429" s="4">
        <f>_xlfn.IFNA(VLOOKUP(Granger_Inventory[[#This Row],[living_area_range]],Lookups!$A$48:$C$57,3,FALSE),1)</f>
        <v>0.97860968051050168</v>
      </c>
      <c r="BV429" s="4">
        <f>AVERAGE(Granger_Inventory[[#This Row],[qual_adj]:[living_range_adj]])</f>
        <v>0.85964269623369105</v>
      </c>
      <c r="BW429" s="8">
        <f>(Granger_Inventory[[#This Row],[sum_land]]-IF(Granger_Inventory[[#This Row],[no_utilities]]=1,12000,0))/IF(Granger_Inventory[[#This Row],[unbuildable]]=1,2,1)</f>
        <v>32806.481099880541</v>
      </c>
      <c r="BX429" s="8">
        <f>Granger_Inventory[[#This Row],[pre_res]]*Granger_Inventory[[#This Row],[overall_adj]]</f>
        <v>152406.25066067211</v>
      </c>
      <c r="BY429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29">
        <f>ROUND(Granger_Inventory[[#This Row],[detatched_value]]*Lookups!$I$45,-2)</f>
        <v>0</v>
      </c>
      <c r="CA429">
        <f>IF(ROUND(Granger_Inventory[[#This Row],[adj_res]]*Lookups!$I$45,-2)&lt;Granger_Inventory[[#This Row],[min_res]],Granger_Inventory[[#This Row],[min_res]],ROUND(Granger_Inventory[[#This Row],[adj_res]]*Lookups!$I$45,-2))</f>
        <v>144800</v>
      </c>
      <c r="CB429">
        <f>Granger_Inventory[[#This Row],[final_det]]+Granger_Inventory[[#This Row],[final_res]]</f>
        <v>144800</v>
      </c>
      <c r="CC429">
        <f>Granger_Inventory[[#This Row],[final_land]]+Granger_Inventory[[#This Row],[final_imp]]+Granger_Inventory[[#This Row],[crop_value]]</f>
        <v>176000</v>
      </c>
      <c r="CE429" t="str">
        <f t="shared" si="6"/>
        <v>update valuation set market_land =31200, market_bldg=144800, market_total =176000, market_mdno =402, market_date ='9/10/2023' where link_id = (select link_id from parcel where parcel_year = '2024' and parcel_id = '21102114493');</v>
      </c>
    </row>
    <row r="430" spans="1:83" x14ac:dyDescent="0.25">
      <c r="A430">
        <v>21102114494</v>
      </c>
      <c r="B430">
        <v>0.16</v>
      </c>
      <c r="C430" t="s">
        <v>137</v>
      </c>
      <c r="D430" t="s">
        <v>137</v>
      </c>
      <c r="E430" t="s">
        <v>54</v>
      </c>
      <c r="F430" t="s">
        <v>54</v>
      </c>
      <c r="G430">
        <v>3</v>
      </c>
      <c r="H430" t="s">
        <v>55</v>
      </c>
      <c r="I430">
        <v>198500</v>
      </c>
      <c r="J430">
        <v>25000</v>
      </c>
      <c r="K430">
        <v>0.16</v>
      </c>
      <c r="L43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30">
        <v>0</v>
      </c>
      <c r="N430">
        <v>0</v>
      </c>
      <c r="O430">
        <v>0</v>
      </c>
      <c r="P430">
        <v>47108.068500000001</v>
      </c>
      <c r="Q430">
        <v>122298</v>
      </c>
      <c r="R430">
        <f>(Granger_Inventory[[#This Row],[ln_acres]]*Granger_Inventory[[#This Row],[coeff]])+Granger_Inventory[[#This Row],[const]]</f>
        <v>35968.626873914327</v>
      </c>
      <c r="S430" t="s">
        <v>69</v>
      </c>
      <c r="T430">
        <v>1</v>
      </c>
      <c r="U430" t="s">
        <v>64</v>
      </c>
      <c r="V430" t="s">
        <v>58</v>
      </c>
      <c r="W430">
        <v>0</v>
      </c>
      <c r="X430">
        <v>0</v>
      </c>
      <c r="Y430">
        <v>4</v>
      </c>
      <c r="Z430">
        <v>4</v>
      </c>
      <c r="AA430">
        <v>10</v>
      </c>
      <c r="AB430">
        <v>1500</v>
      </c>
      <c r="AC430">
        <v>1456</v>
      </c>
      <c r="AD430">
        <v>1456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100</v>
      </c>
      <c r="AO430">
        <v>0</v>
      </c>
      <c r="AP430">
        <v>8</v>
      </c>
      <c r="AQ430">
        <v>0</v>
      </c>
      <c r="AR430">
        <v>0</v>
      </c>
      <c r="AS430" t="s">
        <v>59</v>
      </c>
      <c r="AT430">
        <v>1</v>
      </c>
      <c r="AU430" t="s">
        <v>63</v>
      </c>
      <c r="AV430" t="s">
        <v>65</v>
      </c>
      <c r="AW430">
        <v>1</v>
      </c>
      <c r="AX430">
        <v>2</v>
      </c>
      <c r="AY430">
        <v>0</v>
      </c>
      <c r="AZ430">
        <v>0</v>
      </c>
      <c r="BA430">
        <v>100</v>
      </c>
      <c r="BB430">
        <v>100</v>
      </c>
      <c r="BC430">
        <v>100</v>
      </c>
      <c r="BD430">
        <v>100</v>
      </c>
      <c r="BE430">
        <v>1</v>
      </c>
      <c r="BF430">
        <v>15000</v>
      </c>
      <c r="BG430">
        <v>1000</v>
      </c>
      <c r="BH430" s="8">
        <f>Granger_Inventory[[#This Row],[land_extract]]*Lookups!$B$3</f>
        <v>21427.618862498482</v>
      </c>
      <c r="BI430" s="8">
        <f>IF(Granger_Inventory[[#This Row],[bldg_style]]="",0,Lookups!$B$2)</f>
        <v>29703.559000000001</v>
      </c>
      <c r="BJ430" s="8">
        <f>_xlfn.IFNA(VLOOKUP(Granger_Inventory[[#This Row],[quality]],Lookups!$H$2:$J$14,3,FALSE),0)</f>
        <v>36568</v>
      </c>
      <c r="BK430" s="8">
        <f>_xlfn.IFNA(VLOOKUP(Granger_Inventory[[#This Row],[condition]],Lookups!$H$17:$J$24,3,FALSE),0)</f>
        <v>101774</v>
      </c>
      <c r="BL430" s="8">
        <f>Granger_Inventory[[#This Row],[Age]]*Lookups!$B$16</f>
        <v>-829.32439999999997</v>
      </c>
      <c r="BM430" s="8">
        <f>Granger_Inventory[[#This Row],[living_area]]*Lookups!$B$17</f>
        <v>97949.355503999992</v>
      </c>
      <c r="BN430" s="8">
        <f>(Granger_Inventory[[#This Row],[att_gar]]+Granger_Inventory[[#This Row],[blt_gar]])*Lookups!$B$18</f>
        <v>0</v>
      </c>
      <c r="BO430" s="8">
        <f>Granger_Inventory[[#This Row],[Patio]]*Lookups!$B$19</f>
        <v>0</v>
      </c>
      <c r="BP430" s="8">
        <f>SUM(Granger_Inventory[[#This Row],[Intercept]:[Patio_Value]])*Granger_Inventory[[#This Row],[res_pct]]</f>
        <v>265165.590104</v>
      </c>
      <c r="BQ430" s="8">
        <f>Granger_Inventory[[#This Row],[land_value]]</f>
        <v>21427.618862498482</v>
      </c>
      <c r="BR430" s="4">
        <f>_xlfn.IFNA(VLOOKUP(Granger_Inventory[[#This Row],[quality]],Lookups!$A$25:$C$35,3,FALSE),1)</f>
        <v>0.99049976351917957</v>
      </c>
      <c r="BS430" s="4">
        <f>_xlfn.IFNA(VLOOKUP(Granger_Inventory[[#This Row],[condition]],Lookups!$A$38:$C$45,3,FALSE),1)</f>
        <v>0.99135053432734199</v>
      </c>
      <c r="BT430" s="4">
        <f>IF(Granger_Inventory[[#This Row],[decade]]="",1,_xlfn.IFNA(VLOOKUP(Granger_Inventory[[#This Row],[decade]],Lookups!$G$28:$I$42,3,FALSE),1))</f>
        <v>0.95532362136731586</v>
      </c>
      <c r="BU430" s="4">
        <f>_xlfn.IFNA(VLOOKUP(Granger_Inventory[[#This Row],[living_area_range]],Lookups!$A$48:$C$57,3,FALSE),1)</f>
        <v>0.97960506760539345</v>
      </c>
      <c r="BV430" s="4">
        <f>AVERAGE(Granger_Inventory[[#This Row],[qual_adj]:[living_range_adj]])</f>
        <v>0.97919474670480777</v>
      </c>
      <c r="BW430" s="8">
        <f>(Granger_Inventory[[#This Row],[sum_land]]-IF(Granger_Inventory[[#This Row],[no_utilities]]=1,12000,0))/IF(Granger_Inventory[[#This Row],[unbuildable]]=1,2,1)</f>
        <v>21427.618862498482</v>
      </c>
      <c r="BX430" s="8">
        <f>Granger_Inventory[[#This Row],[pre_res]]*Granger_Inventory[[#This Row],[overall_adj]]</f>
        <v>259648.75283671718</v>
      </c>
      <c r="BY43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30">
        <f>ROUND(Granger_Inventory[[#This Row],[detatched_value]]*Lookups!$I$45,-2)</f>
        <v>0</v>
      </c>
      <c r="CA430">
        <f>IF(ROUND(Granger_Inventory[[#This Row],[adj_res]]*Lookups!$I$45,-2)&lt;Granger_Inventory[[#This Row],[min_res]],Granger_Inventory[[#This Row],[min_res]],ROUND(Granger_Inventory[[#This Row],[adj_res]]*Lookups!$I$45,-2))</f>
        <v>246700</v>
      </c>
      <c r="CB430">
        <f>Granger_Inventory[[#This Row],[final_det]]+Granger_Inventory[[#This Row],[final_res]]</f>
        <v>246700</v>
      </c>
      <c r="CC430">
        <f>Granger_Inventory[[#This Row],[final_land]]+Granger_Inventory[[#This Row],[final_imp]]+Granger_Inventory[[#This Row],[crop_value]]</f>
        <v>267100</v>
      </c>
      <c r="CE430" t="str">
        <f t="shared" si="6"/>
        <v>update valuation set market_land =20400, market_bldg=246700, market_total =267100, market_mdno =402, market_date ='9/10/2023' where link_id = (select link_id from parcel where parcel_year = '2024' and parcel_id = '21102114494');</v>
      </c>
    </row>
    <row r="431" spans="1:83" x14ac:dyDescent="0.25">
      <c r="A431">
        <v>21102114495</v>
      </c>
      <c r="B431">
        <v>0.16</v>
      </c>
      <c r="C431" t="s">
        <v>137</v>
      </c>
      <c r="D431" t="s">
        <v>137</v>
      </c>
      <c r="E431" t="s">
        <v>54</v>
      </c>
      <c r="F431" t="s">
        <v>54</v>
      </c>
      <c r="G431">
        <v>3</v>
      </c>
      <c r="H431" t="s">
        <v>55</v>
      </c>
      <c r="I431">
        <v>48300</v>
      </c>
      <c r="J431">
        <v>25000</v>
      </c>
      <c r="K431">
        <v>0.16</v>
      </c>
      <c r="L43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31">
        <v>0</v>
      </c>
      <c r="N431">
        <v>0</v>
      </c>
      <c r="O431">
        <v>0</v>
      </c>
      <c r="P431">
        <v>47108.068500000001</v>
      </c>
      <c r="Q431">
        <v>122298</v>
      </c>
      <c r="R431">
        <f>(Granger_Inventory[[#This Row],[ln_acres]]*Granger_Inventory[[#This Row],[coeff]])+Granger_Inventory[[#This Row],[const]]</f>
        <v>35968.626873914327</v>
      </c>
      <c r="S431" t="s">
        <v>62</v>
      </c>
      <c r="T431">
        <v>1</v>
      </c>
      <c r="U431" t="s">
        <v>106</v>
      </c>
      <c r="V431" t="s">
        <v>79</v>
      </c>
      <c r="W431">
        <v>0</v>
      </c>
      <c r="X431">
        <v>0</v>
      </c>
      <c r="Y431">
        <v>51</v>
      </c>
      <c r="Z431">
        <v>83</v>
      </c>
      <c r="AA431">
        <v>90</v>
      </c>
      <c r="AB431">
        <v>1500</v>
      </c>
      <c r="AC431">
        <v>1008</v>
      </c>
      <c r="AD431">
        <v>1008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176</v>
      </c>
      <c r="AO431">
        <v>0</v>
      </c>
      <c r="AP431">
        <v>5</v>
      </c>
      <c r="AQ431">
        <v>0</v>
      </c>
      <c r="AR431">
        <v>0</v>
      </c>
      <c r="AS431" t="s">
        <v>59</v>
      </c>
      <c r="AT431">
        <v>1</v>
      </c>
      <c r="AU431" t="s">
        <v>60</v>
      </c>
      <c r="AV431" t="s">
        <v>145</v>
      </c>
      <c r="AW431">
        <v>0</v>
      </c>
      <c r="AX431">
        <v>2</v>
      </c>
      <c r="AY431">
        <v>0</v>
      </c>
      <c r="AZ431">
        <v>0</v>
      </c>
      <c r="BA431">
        <v>100</v>
      </c>
      <c r="BB431">
        <v>100</v>
      </c>
      <c r="BC431">
        <v>100</v>
      </c>
      <c r="BD431">
        <v>100</v>
      </c>
      <c r="BE431">
        <v>1</v>
      </c>
      <c r="BF431">
        <v>15000</v>
      </c>
      <c r="BG431">
        <v>1000</v>
      </c>
      <c r="BH431" s="8">
        <f>Granger_Inventory[[#This Row],[land_extract]]*Lookups!$B$3</f>
        <v>21427.618862498482</v>
      </c>
      <c r="BI431" s="8">
        <f>IF(Granger_Inventory[[#This Row],[bldg_style]]="",0,Lookups!$B$2)</f>
        <v>29703.559000000001</v>
      </c>
      <c r="BJ431" s="8">
        <f>_xlfn.IFNA(VLOOKUP(Granger_Inventory[[#This Row],[quality]],Lookups!$H$2:$J$14,3,FALSE),0)</f>
        <v>17985.540667792327</v>
      </c>
      <c r="BK431" s="8">
        <f>_xlfn.IFNA(VLOOKUP(Granger_Inventory[[#This Row],[condition]],Lookups!$H$17:$J$24,3,FALSE),0)</f>
        <v>86727</v>
      </c>
      <c r="BL431" s="8">
        <f>Granger_Inventory[[#This Row],[Age]]*Lookups!$B$16</f>
        <v>-17208.481299999999</v>
      </c>
      <c r="BM431" s="8">
        <f>Granger_Inventory[[#This Row],[living_area]]*Lookups!$B$17</f>
        <v>67811.092271999994</v>
      </c>
      <c r="BN431" s="8">
        <f>(Granger_Inventory[[#This Row],[att_gar]]+Granger_Inventory[[#This Row],[blt_gar]])*Lookups!$B$18</f>
        <v>0</v>
      </c>
      <c r="BO431" s="8">
        <f>Granger_Inventory[[#This Row],[Patio]]*Lookups!$B$19</f>
        <v>0</v>
      </c>
      <c r="BP431" s="8">
        <f>SUM(Granger_Inventory[[#This Row],[Intercept]:[Patio_Value]])*Granger_Inventory[[#This Row],[res_pct]]</f>
        <v>185018.71063979232</v>
      </c>
      <c r="BQ431" s="8">
        <f>Granger_Inventory[[#This Row],[land_value]]</f>
        <v>21427.618862498482</v>
      </c>
      <c r="BR431" s="4">
        <f>_xlfn.IFNA(VLOOKUP(Granger_Inventory[[#This Row],[quality]],Lookups!$A$25:$C$35,3,FALSE),1)</f>
        <v>0.77695375541795109</v>
      </c>
      <c r="BS431" s="4">
        <f>_xlfn.IFNA(VLOOKUP(Granger_Inventory[[#This Row],[condition]],Lookups!$A$38:$C$45,3,FALSE),1)</f>
        <v>0.85322907131620684</v>
      </c>
      <c r="BT431" s="4">
        <f>IF(Granger_Inventory[[#This Row],[decade]]="",1,_xlfn.IFNA(VLOOKUP(Granger_Inventory[[#This Row],[decade]],Lookups!$G$28:$I$42,3,FALSE),1))</f>
        <v>0.95234610137492615</v>
      </c>
      <c r="BU431" s="4">
        <f>_xlfn.IFNA(VLOOKUP(Granger_Inventory[[#This Row],[living_area_range]],Lookups!$A$48:$C$57,3,FALSE),1)</f>
        <v>0.97960506760539345</v>
      </c>
      <c r="BV431" s="4">
        <f>AVERAGE(Granger_Inventory[[#This Row],[qual_adj]:[living_range_adj]])</f>
        <v>0.89053349892861944</v>
      </c>
      <c r="BW431" s="8">
        <f>(Granger_Inventory[[#This Row],[sum_land]]-IF(Granger_Inventory[[#This Row],[no_utilities]]=1,12000,0))/IF(Granger_Inventory[[#This Row],[unbuildable]]=1,2,1)</f>
        <v>21427.618862498482</v>
      </c>
      <c r="BX431" s="8">
        <f>Granger_Inventory[[#This Row],[pre_res]]*Granger_Inventory[[#This Row],[overall_adj]]</f>
        <v>164765.35975331604</v>
      </c>
      <c r="BY43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31">
        <f>ROUND(Granger_Inventory[[#This Row],[detatched_value]]*Lookups!$I$45,-2)</f>
        <v>0</v>
      </c>
      <c r="CA431">
        <f>IF(ROUND(Granger_Inventory[[#This Row],[adj_res]]*Lookups!$I$45,-2)&lt;Granger_Inventory[[#This Row],[min_res]],Granger_Inventory[[#This Row],[min_res]],ROUND(Granger_Inventory[[#This Row],[adj_res]]*Lookups!$I$45,-2))</f>
        <v>156500</v>
      </c>
      <c r="CB431">
        <f>Granger_Inventory[[#This Row],[final_det]]+Granger_Inventory[[#This Row],[final_res]]</f>
        <v>156500</v>
      </c>
      <c r="CC431">
        <f>Granger_Inventory[[#This Row],[final_land]]+Granger_Inventory[[#This Row],[final_imp]]+Granger_Inventory[[#This Row],[crop_value]]</f>
        <v>176900</v>
      </c>
      <c r="CE431" t="str">
        <f t="shared" si="6"/>
        <v>update valuation set market_land =20400, market_bldg=156500, market_total =176900, market_mdno =402, market_date ='9/10/2023' where link_id = (select link_id from parcel where parcel_year = '2024' and parcel_id = '21102114495');</v>
      </c>
    </row>
    <row r="432" spans="1:83" x14ac:dyDescent="0.25">
      <c r="A432">
        <v>21102114496</v>
      </c>
      <c r="B432">
        <v>0.16</v>
      </c>
      <c r="C432" t="s">
        <v>137</v>
      </c>
      <c r="D432" t="s">
        <v>137</v>
      </c>
      <c r="E432" t="s">
        <v>54</v>
      </c>
      <c r="F432" t="s">
        <v>54</v>
      </c>
      <c r="G432">
        <v>3</v>
      </c>
      <c r="H432" t="s">
        <v>55</v>
      </c>
      <c r="I432">
        <v>22900</v>
      </c>
      <c r="J432">
        <v>25000</v>
      </c>
      <c r="K432">
        <v>0.16</v>
      </c>
      <c r="L43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32">
        <v>0</v>
      </c>
      <c r="N432">
        <v>0</v>
      </c>
      <c r="O432">
        <v>0</v>
      </c>
      <c r="P432">
        <v>47108.068500000001</v>
      </c>
      <c r="Q432">
        <v>122298</v>
      </c>
      <c r="R432">
        <f>(Granger_Inventory[[#This Row],[ln_acres]]*Granger_Inventory[[#This Row],[coeff]])+Granger_Inventory[[#This Row],[const]]</f>
        <v>35968.626873914327</v>
      </c>
      <c r="S432" t="s">
        <v>69</v>
      </c>
      <c r="T432">
        <v>1</v>
      </c>
      <c r="U432" t="s">
        <v>106</v>
      </c>
      <c r="V432" t="s">
        <v>77</v>
      </c>
      <c r="W432">
        <v>0</v>
      </c>
      <c r="X432">
        <v>0</v>
      </c>
      <c r="Y432">
        <v>53</v>
      </c>
      <c r="Z432">
        <v>93</v>
      </c>
      <c r="AA432">
        <v>100</v>
      </c>
      <c r="AB432">
        <v>1000</v>
      </c>
      <c r="AC432">
        <v>531</v>
      </c>
      <c r="AD432">
        <v>531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28</v>
      </c>
      <c r="AO432">
        <v>0</v>
      </c>
      <c r="AP432">
        <v>5</v>
      </c>
      <c r="AQ432">
        <v>0</v>
      </c>
      <c r="AR432">
        <v>0</v>
      </c>
      <c r="AS432" t="s">
        <v>59</v>
      </c>
      <c r="AT432">
        <v>1</v>
      </c>
      <c r="AU432" t="s">
        <v>76</v>
      </c>
      <c r="AV432" t="s">
        <v>65</v>
      </c>
      <c r="AW432">
        <v>0</v>
      </c>
      <c r="AX432">
        <v>2</v>
      </c>
      <c r="AY432">
        <v>0</v>
      </c>
      <c r="AZ432">
        <v>0</v>
      </c>
      <c r="BA432">
        <v>100</v>
      </c>
      <c r="BB432">
        <v>100</v>
      </c>
      <c r="BC432">
        <v>100</v>
      </c>
      <c r="BD432">
        <v>100</v>
      </c>
      <c r="BE432">
        <v>1</v>
      </c>
      <c r="BF432">
        <v>15000</v>
      </c>
      <c r="BG432">
        <v>1000</v>
      </c>
      <c r="BH432" s="8">
        <f>Granger_Inventory[[#This Row],[land_extract]]*Lookups!$B$3</f>
        <v>21427.618862498482</v>
      </c>
      <c r="BI432" s="8">
        <f>IF(Granger_Inventory[[#This Row],[bldg_style]]="",0,Lookups!$B$2)</f>
        <v>29703.559000000001</v>
      </c>
      <c r="BJ432" s="8">
        <f>_xlfn.IFNA(VLOOKUP(Granger_Inventory[[#This Row],[quality]],Lookups!$H$2:$J$14,3,FALSE),0)</f>
        <v>17985.540667792327</v>
      </c>
      <c r="BK432" s="8">
        <f>_xlfn.IFNA(VLOOKUP(Granger_Inventory[[#This Row],[condition]],Lookups!$H$17:$J$24,3,FALSE),0)</f>
        <v>33736</v>
      </c>
      <c r="BL432" s="8">
        <f>Granger_Inventory[[#This Row],[Age]]*Lookups!$B$16</f>
        <v>-19281.792300000001</v>
      </c>
      <c r="BM432" s="8">
        <f>Granger_Inventory[[#This Row],[living_area]]*Lookups!$B$17</f>
        <v>35721.914679000001</v>
      </c>
      <c r="BN432" s="8">
        <f>(Granger_Inventory[[#This Row],[att_gar]]+Granger_Inventory[[#This Row],[blt_gar]])*Lookups!$B$18</f>
        <v>0</v>
      </c>
      <c r="BO432" s="8">
        <f>Granger_Inventory[[#This Row],[Patio]]*Lookups!$B$19</f>
        <v>0</v>
      </c>
      <c r="BP432" s="8">
        <f>SUM(Granger_Inventory[[#This Row],[Intercept]:[Patio_Value]])*Granger_Inventory[[#This Row],[res_pct]]</f>
        <v>97865.222046792333</v>
      </c>
      <c r="BQ432" s="8">
        <f>Granger_Inventory[[#This Row],[land_value]]</f>
        <v>21427.618862498482</v>
      </c>
      <c r="BR432" s="4">
        <f>_xlfn.IFNA(VLOOKUP(Granger_Inventory[[#This Row],[quality]],Lookups!$A$25:$C$35,3,FALSE),1)</f>
        <v>0.77695375541795109</v>
      </c>
      <c r="BS432" s="4">
        <f>_xlfn.IFNA(VLOOKUP(Granger_Inventory[[#This Row],[condition]],Lookups!$A$38:$C$45,3,FALSE),1)</f>
        <v>0.92294678898076177</v>
      </c>
      <c r="BT432" s="4">
        <f>IF(Granger_Inventory[[#This Row],[decade]]="",1,_xlfn.IFNA(VLOOKUP(Granger_Inventory[[#This Row],[decade]],Lookups!$G$28:$I$42,3,FALSE),1))</f>
        <v>0.879441629375324</v>
      </c>
      <c r="BU432" s="4">
        <f>_xlfn.IFNA(VLOOKUP(Granger_Inventory[[#This Row],[living_area_range]],Lookups!$A$48:$C$57,3,FALSE),1)</f>
        <v>0.81272404900450645</v>
      </c>
      <c r="BV432" s="4">
        <f>AVERAGE(Granger_Inventory[[#This Row],[qual_adj]:[living_range_adj]])</f>
        <v>0.84801655569463574</v>
      </c>
      <c r="BW432" s="8">
        <f>(Granger_Inventory[[#This Row],[sum_land]]-IF(Granger_Inventory[[#This Row],[no_utilities]]=1,12000,0))/IF(Granger_Inventory[[#This Row],[unbuildable]]=1,2,1)</f>
        <v>21427.618862498482</v>
      </c>
      <c r="BX432" s="8">
        <f>Granger_Inventory[[#This Row],[pre_res]]*Granger_Inventory[[#This Row],[overall_adj]]</f>
        <v>82991.328522411568</v>
      </c>
      <c r="BY43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32">
        <f>ROUND(Granger_Inventory[[#This Row],[detatched_value]]*Lookups!$I$45,-2)</f>
        <v>0</v>
      </c>
      <c r="CA432">
        <f>IF(ROUND(Granger_Inventory[[#This Row],[adj_res]]*Lookups!$I$45,-2)&lt;Granger_Inventory[[#This Row],[min_res]],Granger_Inventory[[#This Row],[min_res]],ROUND(Granger_Inventory[[#This Row],[adj_res]]*Lookups!$I$45,-2))</f>
        <v>78800</v>
      </c>
      <c r="CB432">
        <f>Granger_Inventory[[#This Row],[final_det]]+Granger_Inventory[[#This Row],[final_res]]</f>
        <v>78800</v>
      </c>
      <c r="CC432">
        <f>Granger_Inventory[[#This Row],[final_land]]+Granger_Inventory[[#This Row],[final_imp]]+Granger_Inventory[[#This Row],[crop_value]]</f>
        <v>99200</v>
      </c>
      <c r="CE432" t="str">
        <f t="shared" si="6"/>
        <v>update valuation set market_land =20400, market_bldg=78800, market_total =99200, market_mdno =402, market_date ='9/10/2023' where link_id = (select link_id from parcel where parcel_year = '2024' and parcel_id = '21102114496');</v>
      </c>
    </row>
    <row r="433" spans="1:83" x14ac:dyDescent="0.25">
      <c r="A433">
        <v>21102114506</v>
      </c>
      <c r="B433">
        <v>0.16</v>
      </c>
      <c r="C433" t="s">
        <v>137</v>
      </c>
      <c r="D433" t="s">
        <v>137</v>
      </c>
      <c r="E433" t="s">
        <v>54</v>
      </c>
      <c r="F433" t="s">
        <v>54</v>
      </c>
      <c r="G433">
        <v>3</v>
      </c>
      <c r="H433" t="s">
        <v>55</v>
      </c>
      <c r="I433">
        <v>118500</v>
      </c>
      <c r="J433">
        <v>26700</v>
      </c>
      <c r="K433">
        <v>0.16</v>
      </c>
      <c r="L433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33">
        <v>0</v>
      </c>
      <c r="N433">
        <v>0</v>
      </c>
      <c r="O433">
        <v>0</v>
      </c>
      <c r="P433">
        <v>47108.068500000001</v>
      </c>
      <c r="Q433">
        <v>122298</v>
      </c>
      <c r="R433">
        <f>(Granger_Inventory[[#This Row],[ln_acres]]*Granger_Inventory[[#This Row],[coeff]])+Granger_Inventory[[#This Row],[const]]</f>
        <v>35968.626873914327</v>
      </c>
      <c r="S433" t="s">
        <v>56</v>
      </c>
      <c r="T433">
        <v>1</v>
      </c>
      <c r="U433" t="s">
        <v>71</v>
      </c>
      <c r="V433" t="s">
        <v>77</v>
      </c>
      <c r="W433">
        <v>0</v>
      </c>
      <c r="X433">
        <v>0</v>
      </c>
      <c r="Y433">
        <v>48</v>
      </c>
      <c r="Z433">
        <v>63</v>
      </c>
      <c r="AA433">
        <v>70</v>
      </c>
      <c r="AB433">
        <v>1500</v>
      </c>
      <c r="AC433">
        <v>1312</v>
      </c>
      <c r="AD433">
        <v>1312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360</v>
      </c>
      <c r="AN433">
        <v>0</v>
      </c>
      <c r="AO433">
        <v>360</v>
      </c>
      <c r="AP433">
        <v>5</v>
      </c>
      <c r="AQ433">
        <v>0</v>
      </c>
      <c r="AR433">
        <v>0</v>
      </c>
      <c r="AS433" t="s">
        <v>59</v>
      </c>
      <c r="AT433">
        <v>1</v>
      </c>
      <c r="AU433" t="s">
        <v>60</v>
      </c>
      <c r="AV433" t="s">
        <v>61</v>
      </c>
      <c r="AW433">
        <v>0</v>
      </c>
      <c r="AX433">
        <v>3</v>
      </c>
      <c r="AY433">
        <v>0</v>
      </c>
      <c r="AZ433">
        <v>0</v>
      </c>
      <c r="BA433">
        <v>100</v>
      </c>
      <c r="BB433">
        <v>100</v>
      </c>
      <c r="BC433">
        <v>100</v>
      </c>
      <c r="BD433">
        <v>100</v>
      </c>
      <c r="BE433">
        <v>1</v>
      </c>
      <c r="BF433">
        <v>15000</v>
      </c>
      <c r="BG433">
        <v>1000</v>
      </c>
      <c r="BH433" s="8">
        <f>Granger_Inventory[[#This Row],[land_extract]]*Lookups!$B$3</f>
        <v>21427.618862498482</v>
      </c>
      <c r="BI433" s="8">
        <f>IF(Granger_Inventory[[#This Row],[bldg_style]]="",0,Lookups!$B$2)</f>
        <v>29703.559000000001</v>
      </c>
      <c r="BJ433" s="8">
        <f>_xlfn.IFNA(VLOOKUP(Granger_Inventory[[#This Row],[quality]],Lookups!$H$2:$J$14,3,FALSE),0)</f>
        <v>34195</v>
      </c>
      <c r="BK433" s="8">
        <f>_xlfn.IFNA(VLOOKUP(Granger_Inventory[[#This Row],[condition]],Lookups!$H$17:$J$24,3,FALSE),0)</f>
        <v>33736</v>
      </c>
      <c r="BL433" s="8">
        <f>Granger_Inventory[[#This Row],[Age]]*Lookups!$B$16</f>
        <v>-13061.8593</v>
      </c>
      <c r="BM433" s="8">
        <f>Granger_Inventory[[#This Row],[living_area]]*Lookups!$B$17</f>
        <v>88262.056607999999</v>
      </c>
      <c r="BN433" s="8">
        <f>(Granger_Inventory[[#This Row],[att_gar]]+Granger_Inventory[[#This Row],[blt_gar]])*Lookups!$B$18</f>
        <v>0</v>
      </c>
      <c r="BO433" s="8">
        <f>Granger_Inventory[[#This Row],[Patio]]*Lookups!$B$19</f>
        <v>19553.434559999998</v>
      </c>
      <c r="BP433" s="8">
        <f>SUM(Granger_Inventory[[#This Row],[Intercept]:[Patio_Value]])*Granger_Inventory[[#This Row],[res_pct]]</f>
        <v>192388.19086800001</v>
      </c>
      <c r="BQ433" s="8">
        <f>Granger_Inventory[[#This Row],[land_value]]</f>
        <v>21427.618862498482</v>
      </c>
      <c r="BR433" s="4">
        <f>_xlfn.IFNA(VLOOKUP(Granger_Inventory[[#This Row],[quality]],Lookups!$A$25:$C$35,3,FALSE),1)</f>
        <v>0.98258795897788032</v>
      </c>
      <c r="BS433" s="4">
        <f>_xlfn.IFNA(VLOOKUP(Granger_Inventory[[#This Row],[condition]],Lookups!$A$38:$C$45,3,FALSE),1)</f>
        <v>0.92294678898076177</v>
      </c>
      <c r="BT433" s="4">
        <f>IF(Granger_Inventory[[#This Row],[decade]]="",1,_xlfn.IFNA(VLOOKUP(Granger_Inventory[[#This Row],[decade]],Lookups!$G$28:$I$42,3,FALSE),1))</f>
        <v>1.0270382440255921</v>
      </c>
      <c r="BU433" s="4">
        <f>_xlfn.IFNA(VLOOKUP(Granger_Inventory[[#This Row],[living_area_range]],Lookups!$A$48:$C$57,3,FALSE),1)</f>
        <v>0.97960506760539345</v>
      </c>
      <c r="BV433" s="4">
        <f>AVERAGE(Granger_Inventory[[#This Row],[qual_adj]:[living_range_adj]])</f>
        <v>0.97804451489740685</v>
      </c>
      <c r="BW433" s="8">
        <f>(Granger_Inventory[[#This Row],[sum_land]]-IF(Granger_Inventory[[#This Row],[no_utilities]]=1,12000,0))/IF(Granger_Inventory[[#This Row],[unbuildable]]=1,2,1)</f>
        <v>21427.618862498482</v>
      </c>
      <c r="BX433" s="8">
        <f>Granger_Inventory[[#This Row],[pre_res]]*Granger_Inventory[[#This Row],[overall_adj]]</f>
        <v>188164.21480948277</v>
      </c>
      <c r="BY433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33">
        <f>ROUND(Granger_Inventory[[#This Row],[detatched_value]]*Lookups!$I$45,-2)</f>
        <v>0</v>
      </c>
      <c r="CA433">
        <f>IF(ROUND(Granger_Inventory[[#This Row],[adj_res]]*Lookups!$I$45,-2)&lt;Granger_Inventory[[#This Row],[min_res]],Granger_Inventory[[#This Row],[min_res]],ROUND(Granger_Inventory[[#This Row],[adj_res]]*Lookups!$I$45,-2))</f>
        <v>178800</v>
      </c>
      <c r="CB433">
        <f>Granger_Inventory[[#This Row],[final_det]]+Granger_Inventory[[#This Row],[final_res]]</f>
        <v>178800</v>
      </c>
      <c r="CC433">
        <f>Granger_Inventory[[#This Row],[final_land]]+Granger_Inventory[[#This Row],[final_imp]]+Granger_Inventory[[#This Row],[crop_value]]</f>
        <v>199200</v>
      </c>
      <c r="CE433" t="str">
        <f t="shared" si="6"/>
        <v>update valuation set market_land =20400, market_bldg=178800, market_total =199200, market_mdno =402, market_date ='9/10/2023' where link_id = (select link_id from parcel where parcel_year = '2024' and parcel_id = '21102114506');</v>
      </c>
    </row>
    <row r="434" spans="1:83" x14ac:dyDescent="0.25">
      <c r="A434">
        <v>21102114508</v>
      </c>
      <c r="B434">
        <v>0.16</v>
      </c>
      <c r="C434" t="s">
        <v>137</v>
      </c>
      <c r="D434" t="s">
        <v>137</v>
      </c>
      <c r="E434" t="s">
        <v>54</v>
      </c>
      <c r="F434" t="s">
        <v>54</v>
      </c>
      <c r="G434">
        <v>3</v>
      </c>
      <c r="H434" t="s">
        <v>55</v>
      </c>
      <c r="I434">
        <v>175000</v>
      </c>
      <c r="J434">
        <v>26700</v>
      </c>
      <c r="K434">
        <v>0.16</v>
      </c>
      <c r="L43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34">
        <v>0</v>
      </c>
      <c r="N434">
        <v>0</v>
      </c>
      <c r="O434">
        <v>0</v>
      </c>
      <c r="P434">
        <v>47108.068500000001</v>
      </c>
      <c r="Q434">
        <v>122298</v>
      </c>
      <c r="R434">
        <f>(Granger_Inventory[[#This Row],[ln_acres]]*Granger_Inventory[[#This Row],[coeff]])+Granger_Inventory[[#This Row],[const]]</f>
        <v>35968.626873914327</v>
      </c>
      <c r="S434" t="s">
        <v>62</v>
      </c>
      <c r="T434">
        <v>1</v>
      </c>
      <c r="U434" t="s">
        <v>71</v>
      </c>
      <c r="V434" t="s">
        <v>72</v>
      </c>
      <c r="W434">
        <v>0</v>
      </c>
      <c r="X434">
        <v>0</v>
      </c>
      <c r="Y434">
        <v>22</v>
      </c>
      <c r="Z434">
        <v>22</v>
      </c>
      <c r="AA434">
        <v>30</v>
      </c>
      <c r="AB434">
        <v>1500</v>
      </c>
      <c r="AC434">
        <v>1036</v>
      </c>
      <c r="AD434">
        <v>1036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56</v>
      </c>
      <c r="AO434">
        <v>56</v>
      </c>
      <c r="AP434">
        <v>5</v>
      </c>
      <c r="AQ434">
        <v>0</v>
      </c>
      <c r="AR434">
        <v>0</v>
      </c>
      <c r="AS434" t="s">
        <v>59</v>
      </c>
      <c r="AT434">
        <v>1</v>
      </c>
      <c r="AU434" t="s">
        <v>60</v>
      </c>
      <c r="AV434" t="s">
        <v>65</v>
      </c>
      <c r="AW434">
        <v>0</v>
      </c>
      <c r="AX434">
        <v>3</v>
      </c>
      <c r="AY434">
        <v>0</v>
      </c>
      <c r="AZ434">
        <v>0</v>
      </c>
      <c r="BA434">
        <v>100</v>
      </c>
      <c r="BB434">
        <v>100</v>
      </c>
      <c r="BC434">
        <v>100</v>
      </c>
      <c r="BD434">
        <v>100</v>
      </c>
      <c r="BE434">
        <v>1</v>
      </c>
      <c r="BF434">
        <v>15000</v>
      </c>
      <c r="BG434">
        <v>1000</v>
      </c>
      <c r="BH434" s="8">
        <f>Granger_Inventory[[#This Row],[land_extract]]*Lookups!$B$3</f>
        <v>21427.618862498482</v>
      </c>
      <c r="BI434" s="8">
        <f>IF(Granger_Inventory[[#This Row],[bldg_style]]="",0,Lookups!$B$2)</f>
        <v>29703.559000000001</v>
      </c>
      <c r="BJ434" s="8">
        <f>_xlfn.IFNA(VLOOKUP(Granger_Inventory[[#This Row],[quality]],Lookups!$H$2:$J$14,3,FALSE),0)</f>
        <v>34195</v>
      </c>
      <c r="BK434" s="8">
        <f>_xlfn.IFNA(VLOOKUP(Granger_Inventory[[#This Row],[condition]],Lookups!$H$17:$J$24,3,FALSE),0)</f>
        <v>94106</v>
      </c>
      <c r="BL434" s="8">
        <f>Granger_Inventory[[#This Row],[Age]]*Lookups!$B$16</f>
        <v>-4561.2842000000001</v>
      </c>
      <c r="BM434" s="8">
        <f>Granger_Inventory[[#This Row],[living_area]]*Lookups!$B$17</f>
        <v>69694.733724000005</v>
      </c>
      <c r="BN434" s="8">
        <f>(Granger_Inventory[[#This Row],[att_gar]]+Granger_Inventory[[#This Row],[blt_gar]])*Lookups!$B$18</f>
        <v>0</v>
      </c>
      <c r="BO434" s="8">
        <f>Granger_Inventory[[#This Row],[Patio]]*Lookups!$B$19</f>
        <v>0</v>
      </c>
      <c r="BP434" s="8">
        <f>SUM(Granger_Inventory[[#This Row],[Intercept]:[Patio_Value]])*Granger_Inventory[[#This Row],[res_pct]]</f>
        <v>223138.008524</v>
      </c>
      <c r="BQ434" s="8">
        <f>Granger_Inventory[[#This Row],[land_value]]</f>
        <v>21427.618862498482</v>
      </c>
      <c r="BR434" s="4">
        <f>_xlfn.IFNA(VLOOKUP(Granger_Inventory[[#This Row],[quality]],Lookups!$A$25:$C$35,3,FALSE),1)</f>
        <v>0.98258795897788032</v>
      </c>
      <c r="BS434" s="4">
        <f>_xlfn.IFNA(VLOOKUP(Granger_Inventory[[#This Row],[condition]],Lookups!$A$38:$C$45,3,FALSE),1)</f>
        <v>0.98658583151544277</v>
      </c>
      <c r="BT434" s="4">
        <f>IF(Granger_Inventory[[#This Row],[decade]]="",1,_xlfn.IFNA(VLOOKUP(Granger_Inventory[[#This Row],[decade]],Lookups!$G$28:$I$42,3,FALSE),1))</f>
        <v>1.0539470644652671</v>
      </c>
      <c r="BU434" s="4">
        <f>_xlfn.IFNA(VLOOKUP(Granger_Inventory[[#This Row],[living_area_range]],Lookups!$A$48:$C$57,3,FALSE),1)</f>
        <v>0.97960506760539345</v>
      </c>
      <c r="BV434" s="4">
        <f>AVERAGE(Granger_Inventory[[#This Row],[qual_adj]:[living_range_adj]])</f>
        <v>1.0006814806409958</v>
      </c>
      <c r="BW434" s="8">
        <f>(Granger_Inventory[[#This Row],[sum_land]]-IF(Granger_Inventory[[#This Row],[no_utilities]]=1,12000,0))/IF(Granger_Inventory[[#This Row],[unbuildable]]=1,2,1)</f>
        <v>21427.618862498482</v>
      </c>
      <c r="BX434" s="8">
        <f>Granger_Inventory[[#This Row],[pre_res]]*Granger_Inventory[[#This Row],[overall_adj]]</f>
        <v>223290.07275707947</v>
      </c>
      <c r="BY43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34">
        <f>ROUND(Granger_Inventory[[#This Row],[detatched_value]]*Lookups!$I$45,-2)</f>
        <v>0</v>
      </c>
      <c r="CA434">
        <f>IF(ROUND(Granger_Inventory[[#This Row],[adj_res]]*Lookups!$I$45,-2)&lt;Granger_Inventory[[#This Row],[min_res]],Granger_Inventory[[#This Row],[min_res]],ROUND(Granger_Inventory[[#This Row],[adj_res]]*Lookups!$I$45,-2))</f>
        <v>212100</v>
      </c>
      <c r="CB434">
        <f>Granger_Inventory[[#This Row],[final_det]]+Granger_Inventory[[#This Row],[final_res]]</f>
        <v>212100</v>
      </c>
      <c r="CC434">
        <f>Granger_Inventory[[#This Row],[final_land]]+Granger_Inventory[[#This Row],[final_imp]]+Granger_Inventory[[#This Row],[crop_value]]</f>
        <v>232500</v>
      </c>
      <c r="CE434" t="str">
        <f t="shared" si="6"/>
        <v>update valuation set market_land =20400, market_bldg=212100, market_total =232500, market_mdno =402, market_date ='9/10/2023' where link_id = (select link_id from parcel where parcel_year = '2024' and parcel_id = '21102114508');</v>
      </c>
    </row>
    <row r="435" spans="1:83" x14ac:dyDescent="0.25">
      <c r="A435">
        <v>21102114512</v>
      </c>
      <c r="B435">
        <v>0.28000000000000003</v>
      </c>
      <c r="C435">
        <v>12292</v>
      </c>
      <c r="D435" t="s">
        <v>137</v>
      </c>
      <c r="E435" t="s">
        <v>54</v>
      </c>
      <c r="F435" t="s">
        <v>54</v>
      </c>
      <c r="G435">
        <v>3</v>
      </c>
      <c r="H435" t="s">
        <v>55</v>
      </c>
      <c r="I435">
        <v>178700</v>
      </c>
      <c r="J435">
        <v>28100</v>
      </c>
      <c r="K435">
        <v>0.28000000000000003</v>
      </c>
      <c r="L435">
        <f>IF(Granger_Inventory[[#This Row],[parcel_acres]]-Granger_Inventory[[#This Row],[non_valued_acres]] =0,0,LN(Granger_Inventory[[#This Row],[parcel_acres]]-Granger_Inventory[[#This Row],[non_valued_acres]]))</f>
        <v>-1.2729656758128873</v>
      </c>
      <c r="M435">
        <v>0</v>
      </c>
      <c r="N435">
        <v>0</v>
      </c>
      <c r="O435">
        <v>0</v>
      </c>
      <c r="P435">
        <v>47108.068500000001</v>
      </c>
      <c r="Q435">
        <v>122298</v>
      </c>
      <c r="R435">
        <f>(Granger_Inventory[[#This Row],[ln_acres]]*Granger_Inventory[[#This Row],[coeff]])+Granger_Inventory[[#This Row],[const]]</f>
        <v>62331.045745657706</v>
      </c>
      <c r="S435" t="s">
        <v>56</v>
      </c>
      <c r="T435">
        <v>1</v>
      </c>
      <c r="U435" t="s">
        <v>71</v>
      </c>
      <c r="V435" t="s">
        <v>72</v>
      </c>
      <c r="W435">
        <v>0</v>
      </c>
      <c r="X435">
        <v>0</v>
      </c>
      <c r="Y435">
        <v>43</v>
      </c>
      <c r="Z435">
        <v>43</v>
      </c>
      <c r="AA435">
        <v>50</v>
      </c>
      <c r="AB435">
        <v>1500</v>
      </c>
      <c r="AC435">
        <v>1296</v>
      </c>
      <c r="AD435">
        <v>1296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260</v>
      </c>
      <c r="AM435">
        <v>0</v>
      </c>
      <c r="AN435">
        <v>0</v>
      </c>
      <c r="AO435">
        <v>200</v>
      </c>
      <c r="AP435">
        <v>5</v>
      </c>
      <c r="AQ435">
        <v>0</v>
      </c>
      <c r="AR435">
        <v>0</v>
      </c>
      <c r="AS435" t="s">
        <v>59</v>
      </c>
      <c r="AT435">
        <v>1</v>
      </c>
      <c r="AU435" t="s">
        <v>60</v>
      </c>
      <c r="AV435" t="s">
        <v>65</v>
      </c>
      <c r="AW435">
        <v>0</v>
      </c>
      <c r="AX435">
        <v>4</v>
      </c>
      <c r="AY435">
        <v>0</v>
      </c>
      <c r="AZ435">
        <v>0</v>
      </c>
      <c r="BA435">
        <v>100</v>
      </c>
      <c r="BB435">
        <v>100</v>
      </c>
      <c r="BC435">
        <v>100</v>
      </c>
      <c r="BD435">
        <v>100</v>
      </c>
      <c r="BE435">
        <v>1</v>
      </c>
      <c r="BF435">
        <v>15000</v>
      </c>
      <c r="BG435">
        <v>1000</v>
      </c>
      <c r="BH435" s="8">
        <f>Granger_Inventory[[#This Row],[land_extract]]*Lookups!$B$3</f>
        <v>37132.523746897263</v>
      </c>
      <c r="BI435" s="8">
        <f>IF(Granger_Inventory[[#This Row],[bldg_style]]="",0,Lookups!$B$2)</f>
        <v>29703.559000000001</v>
      </c>
      <c r="BJ435" s="8">
        <f>_xlfn.IFNA(VLOOKUP(Granger_Inventory[[#This Row],[quality]],Lookups!$H$2:$J$14,3,FALSE),0)</f>
        <v>34195</v>
      </c>
      <c r="BK435" s="8">
        <f>_xlfn.IFNA(VLOOKUP(Granger_Inventory[[#This Row],[condition]],Lookups!$H$17:$J$24,3,FALSE),0)</f>
        <v>94106</v>
      </c>
      <c r="BL435" s="8">
        <f>Granger_Inventory[[#This Row],[Age]]*Lookups!$B$16</f>
        <v>-8915.2372999999989</v>
      </c>
      <c r="BM435" s="8">
        <f>Granger_Inventory[[#This Row],[living_area]]*Lookups!$B$17</f>
        <v>87185.690063999995</v>
      </c>
      <c r="BN435" s="8">
        <f>(Granger_Inventory[[#This Row],[att_gar]]+Granger_Inventory[[#This Row],[blt_gar]])*Lookups!$B$18</f>
        <v>0</v>
      </c>
      <c r="BO435" s="8">
        <f>Granger_Inventory[[#This Row],[Patio]]*Lookups!$B$19</f>
        <v>0</v>
      </c>
      <c r="BP435" s="8">
        <f>SUM(Granger_Inventory[[#This Row],[Intercept]:[Patio_Value]])*Granger_Inventory[[#This Row],[res_pct]]</f>
        <v>236275.011764</v>
      </c>
      <c r="BQ435" s="8">
        <f>Granger_Inventory[[#This Row],[land_value]]</f>
        <v>37132.523746897263</v>
      </c>
      <c r="BR435" s="4">
        <f>_xlfn.IFNA(VLOOKUP(Granger_Inventory[[#This Row],[quality]],Lookups!$A$25:$C$35,3,FALSE),1)</f>
        <v>0.98258795897788032</v>
      </c>
      <c r="BS435" s="4">
        <f>_xlfn.IFNA(VLOOKUP(Granger_Inventory[[#This Row],[condition]],Lookups!$A$38:$C$45,3,FALSE),1)</f>
        <v>0.98658583151544277</v>
      </c>
      <c r="BT435" s="4">
        <f>IF(Granger_Inventory[[#This Row],[decade]]="",1,_xlfn.IFNA(VLOOKUP(Granger_Inventory[[#This Row],[decade]],Lookups!$G$28:$I$42,3,FALSE),1))</f>
        <v>1.2441094871772171</v>
      </c>
      <c r="BU435" s="4">
        <f>_xlfn.IFNA(VLOOKUP(Granger_Inventory[[#This Row],[living_area_range]],Lookups!$A$48:$C$57,3,FALSE),1)</f>
        <v>0.97960506760539345</v>
      </c>
      <c r="BV435" s="4">
        <f>AVERAGE(Granger_Inventory[[#This Row],[qual_adj]:[living_range_adj]])</f>
        <v>1.0482220863189835</v>
      </c>
      <c r="BW435" s="8">
        <f>(Granger_Inventory[[#This Row],[sum_land]]-IF(Granger_Inventory[[#This Row],[no_utilities]]=1,12000,0))/IF(Granger_Inventory[[#This Row],[unbuildable]]=1,2,1)</f>
        <v>37132.523746897263</v>
      </c>
      <c r="BX435" s="8">
        <f>Granger_Inventory[[#This Row],[pre_res]]*Granger_Inventory[[#This Row],[overall_adj]]</f>
        <v>247668.68577630245</v>
      </c>
      <c r="BY435">
        <f>IF(ROUND(Granger_Inventory[[#This Row],[adj_land]]*Lookups!$I$45,-2)&lt;Granger_Inventory[[#This Row],[min_land]],Granger_Inventory[[#This Row],[min_land]],ROUND(Granger_Inventory[[#This Row],[adj_land]]*Lookups!$I$45,-2))</f>
        <v>35300</v>
      </c>
      <c r="BZ435">
        <f>ROUND(Granger_Inventory[[#This Row],[detatched_value]]*Lookups!$I$45,-2)</f>
        <v>0</v>
      </c>
      <c r="CA435">
        <f>IF(ROUND(Granger_Inventory[[#This Row],[adj_res]]*Lookups!$I$45,-2)&lt;Granger_Inventory[[#This Row],[min_res]],Granger_Inventory[[#This Row],[min_res]],ROUND(Granger_Inventory[[#This Row],[adj_res]]*Lookups!$I$45,-2))</f>
        <v>235300</v>
      </c>
      <c r="CB435">
        <f>Granger_Inventory[[#This Row],[final_det]]+Granger_Inventory[[#This Row],[final_res]]</f>
        <v>235300</v>
      </c>
      <c r="CC435">
        <f>Granger_Inventory[[#This Row],[final_land]]+Granger_Inventory[[#This Row],[final_imp]]+Granger_Inventory[[#This Row],[crop_value]]</f>
        <v>270600</v>
      </c>
      <c r="CE435" t="str">
        <f t="shared" si="6"/>
        <v>update valuation set market_land =35300, market_bldg=235300, market_total =270600, market_mdno =402, market_date ='9/10/2023' where link_id = (select link_id from parcel where parcel_year = '2024' and parcel_id = '21102114512');</v>
      </c>
    </row>
    <row r="436" spans="1:83" x14ac:dyDescent="0.25">
      <c r="A436">
        <v>21102114513</v>
      </c>
      <c r="B436">
        <v>0.24</v>
      </c>
      <c r="C436" t="s">
        <v>137</v>
      </c>
      <c r="D436" t="s">
        <v>137</v>
      </c>
      <c r="E436" t="s">
        <v>54</v>
      </c>
      <c r="F436" t="s">
        <v>54</v>
      </c>
      <c r="G436">
        <v>3</v>
      </c>
      <c r="H436" t="s">
        <v>55</v>
      </c>
      <c r="I436">
        <v>156000</v>
      </c>
      <c r="J436">
        <v>27200</v>
      </c>
      <c r="K436">
        <v>0.24</v>
      </c>
      <c r="L436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36">
        <v>0</v>
      </c>
      <c r="N436">
        <v>0</v>
      </c>
      <c r="O436">
        <v>0</v>
      </c>
      <c r="P436">
        <v>47108.068500000001</v>
      </c>
      <c r="Q436">
        <v>122298</v>
      </c>
      <c r="R436">
        <f>(Granger_Inventory[[#This Row],[ln_acres]]*Granger_Inventory[[#This Row],[coeff]])+Granger_Inventory[[#This Row],[const]]</f>
        <v>55069.304961033646</v>
      </c>
      <c r="S436" t="s">
        <v>56</v>
      </c>
      <c r="T436">
        <v>1</v>
      </c>
      <c r="U436" t="s">
        <v>71</v>
      </c>
      <c r="V436" t="s">
        <v>77</v>
      </c>
      <c r="W436">
        <v>0</v>
      </c>
      <c r="X436">
        <v>0</v>
      </c>
      <c r="Y436">
        <v>38</v>
      </c>
      <c r="Z436">
        <v>38</v>
      </c>
      <c r="AA436">
        <v>40</v>
      </c>
      <c r="AB436">
        <v>1500</v>
      </c>
      <c r="AC436">
        <v>1296</v>
      </c>
      <c r="AD436">
        <v>1296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5</v>
      </c>
      <c r="AQ436">
        <v>0</v>
      </c>
      <c r="AR436">
        <v>0</v>
      </c>
      <c r="AS436" t="s">
        <v>59</v>
      </c>
      <c r="AT436">
        <v>1</v>
      </c>
      <c r="AU436" t="s">
        <v>60</v>
      </c>
      <c r="AV436" t="s">
        <v>65</v>
      </c>
      <c r="AW436">
        <v>0</v>
      </c>
      <c r="AX436">
        <v>5</v>
      </c>
      <c r="AY436">
        <v>0</v>
      </c>
      <c r="AZ436">
        <v>0</v>
      </c>
      <c r="BA436">
        <v>100</v>
      </c>
      <c r="BB436">
        <v>100</v>
      </c>
      <c r="BC436">
        <v>100</v>
      </c>
      <c r="BD436">
        <v>100</v>
      </c>
      <c r="BE436">
        <v>1</v>
      </c>
      <c r="BF436">
        <v>15000</v>
      </c>
      <c r="BG436">
        <v>1000</v>
      </c>
      <c r="BH436" s="8">
        <f>Granger_Inventory[[#This Row],[land_extract]]*Lookups!$B$3</f>
        <v>32806.481099880541</v>
      </c>
      <c r="BI436" s="8">
        <f>IF(Granger_Inventory[[#This Row],[bldg_style]]="",0,Lookups!$B$2)</f>
        <v>29703.559000000001</v>
      </c>
      <c r="BJ436" s="8">
        <f>_xlfn.IFNA(VLOOKUP(Granger_Inventory[[#This Row],[quality]],Lookups!$H$2:$J$14,3,FALSE),0)</f>
        <v>34195</v>
      </c>
      <c r="BK436" s="8">
        <f>_xlfn.IFNA(VLOOKUP(Granger_Inventory[[#This Row],[condition]],Lookups!$H$17:$J$24,3,FALSE),0)</f>
        <v>33736</v>
      </c>
      <c r="BL436" s="8">
        <f>Granger_Inventory[[#This Row],[Age]]*Lookups!$B$16</f>
        <v>-7878.5817999999999</v>
      </c>
      <c r="BM436" s="8">
        <f>Granger_Inventory[[#This Row],[living_area]]*Lookups!$B$17</f>
        <v>87185.690063999995</v>
      </c>
      <c r="BN436" s="8">
        <f>(Granger_Inventory[[#This Row],[att_gar]]+Granger_Inventory[[#This Row],[blt_gar]])*Lookups!$B$18</f>
        <v>0</v>
      </c>
      <c r="BO436" s="8">
        <f>Granger_Inventory[[#This Row],[Patio]]*Lookups!$B$19</f>
        <v>0</v>
      </c>
      <c r="BP436" s="8">
        <f>SUM(Granger_Inventory[[#This Row],[Intercept]:[Patio_Value]])*Granger_Inventory[[#This Row],[res_pct]]</f>
        <v>176941.66726399999</v>
      </c>
      <c r="BQ436" s="8">
        <f>Granger_Inventory[[#This Row],[land_value]]</f>
        <v>32806.481099880541</v>
      </c>
      <c r="BR436" s="4">
        <f>_xlfn.IFNA(VLOOKUP(Granger_Inventory[[#This Row],[quality]],Lookups!$A$25:$C$35,3,FALSE),1)</f>
        <v>0.98258795897788032</v>
      </c>
      <c r="BS436" s="4">
        <f>_xlfn.IFNA(VLOOKUP(Granger_Inventory[[#This Row],[condition]],Lookups!$A$38:$C$45,3,FALSE),1)</f>
        <v>0.92294678898076177</v>
      </c>
      <c r="BT436" s="4">
        <f>IF(Granger_Inventory[[#This Row],[decade]]="",1,_xlfn.IFNA(VLOOKUP(Granger_Inventory[[#This Row],[decade]],Lookups!$G$28:$I$42,3,FALSE),1))</f>
        <v>0.98127609555109363</v>
      </c>
      <c r="BU436" s="4">
        <f>_xlfn.IFNA(VLOOKUP(Granger_Inventory[[#This Row],[living_area_range]],Lookups!$A$48:$C$57,3,FALSE),1)</f>
        <v>0.97960506760539345</v>
      </c>
      <c r="BV436" s="4">
        <f>AVERAGE(Granger_Inventory[[#This Row],[qual_adj]:[living_range_adj]])</f>
        <v>0.96660397777878226</v>
      </c>
      <c r="BW436" s="8">
        <f>(Granger_Inventory[[#This Row],[sum_land]]-IF(Granger_Inventory[[#This Row],[no_utilities]]=1,12000,0))/IF(Granger_Inventory[[#This Row],[unbuildable]]=1,2,1)</f>
        <v>32806.481099880541</v>
      </c>
      <c r="BX436" s="8">
        <f>Granger_Inventory[[#This Row],[pre_res]]*Granger_Inventory[[#This Row],[overall_adj]]</f>
        <v>171032.51941219214</v>
      </c>
      <c r="BY436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36">
        <f>ROUND(Granger_Inventory[[#This Row],[detatched_value]]*Lookups!$I$45,-2)</f>
        <v>0</v>
      </c>
      <c r="CA436">
        <f>IF(ROUND(Granger_Inventory[[#This Row],[adj_res]]*Lookups!$I$45,-2)&lt;Granger_Inventory[[#This Row],[min_res]],Granger_Inventory[[#This Row],[min_res]],ROUND(Granger_Inventory[[#This Row],[adj_res]]*Lookups!$I$45,-2))</f>
        <v>162500</v>
      </c>
      <c r="CB436">
        <f>Granger_Inventory[[#This Row],[final_det]]+Granger_Inventory[[#This Row],[final_res]]</f>
        <v>162500</v>
      </c>
      <c r="CC436">
        <f>Granger_Inventory[[#This Row],[final_land]]+Granger_Inventory[[#This Row],[final_imp]]+Granger_Inventory[[#This Row],[crop_value]]</f>
        <v>193700</v>
      </c>
      <c r="CE436" t="str">
        <f t="shared" si="6"/>
        <v>update valuation set market_land =31200, market_bldg=162500, market_total =193700, market_mdno =402, market_date ='9/10/2023' where link_id = (select link_id from parcel where parcel_year = '2024' and parcel_id = '21102114513');</v>
      </c>
    </row>
    <row r="437" spans="1:83" x14ac:dyDescent="0.25">
      <c r="A437">
        <v>21102114514</v>
      </c>
      <c r="B437">
        <v>0.24</v>
      </c>
      <c r="C437" t="s">
        <v>137</v>
      </c>
      <c r="D437" t="s">
        <v>137</v>
      </c>
      <c r="E437" t="s">
        <v>54</v>
      </c>
      <c r="F437" t="s">
        <v>54</v>
      </c>
      <c r="G437">
        <v>3</v>
      </c>
      <c r="H437" t="s">
        <v>55</v>
      </c>
      <c r="I437">
        <v>111400</v>
      </c>
      <c r="J437">
        <v>27200</v>
      </c>
      <c r="K437">
        <v>0.24</v>
      </c>
      <c r="L437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37">
        <v>0</v>
      </c>
      <c r="N437">
        <v>0</v>
      </c>
      <c r="O437">
        <v>0</v>
      </c>
      <c r="P437">
        <v>47108.068500000001</v>
      </c>
      <c r="Q437">
        <v>122298</v>
      </c>
      <c r="R437">
        <f>(Granger_Inventory[[#This Row],[ln_acres]]*Granger_Inventory[[#This Row],[coeff]])+Granger_Inventory[[#This Row],[const]]</f>
        <v>55069.304961033646</v>
      </c>
      <c r="S437" t="s">
        <v>56</v>
      </c>
      <c r="T437">
        <v>1</v>
      </c>
      <c r="U437" t="s">
        <v>71</v>
      </c>
      <c r="V437" t="s">
        <v>77</v>
      </c>
      <c r="W437">
        <v>0</v>
      </c>
      <c r="X437">
        <v>0</v>
      </c>
      <c r="Y437">
        <v>43</v>
      </c>
      <c r="Z437">
        <v>43</v>
      </c>
      <c r="AA437">
        <v>50</v>
      </c>
      <c r="AB437">
        <v>1500</v>
      </c>
      <c r="AC437">
        <v>1008</v>
      </c>
      <c r="AD437">
        <v>1008</v>
      </c>
      <c r="AE437">
        <v>0</v>
      </c>
      <c r="AF437">
        <v>0</v>
      </c>
      <c r="AG437">
        <v>0</v>
      </c>
      <c r="AH437">
        <v>0</v>
      </c>
      <c r="AI437">
        <v>288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5</v>
      </c>
      <c r="AQ437">
        <v>0</v>
      </c>
      <c r="AR437">
        <v>0</v>
      </c>
      <c r="AS437" t="s">
        <v>59</v>
      </c>
      <c r="AT437">
        <v>1</v>
      </c>
      <c r="AU437" t="s">
        <v>60</v>
      </c>
      <c r="AV437" t="s">
        <v>65</v>
      </c>
      <c r="AW437">
        <v>0</v>
      </c>
      <c r="AX437">
        <v>3</v>
      </c>
      <c r="AY437">
        <v>0</v>
      </c>
      <c r="AZ437">
        <v>0</v>
      </c>
      <c r="BA437">
        <v>100</v>
      </c>
      <c r="BB437">
        <v>100</v>
      </c>
      <c r="BC437">
        <v>100</v>
      </c>
      <c r="BD437">
        <v>100</v>
      </c>
      <c r="BE437">
        <v>1</v>
      </c>
      <c r="BF437">
        <v>15000</v>
      </c>
      <c r="BG437">
        <v>1000</v>
      </c>
      <c r="BH437" s="8">
        <f>Granger_Inventory[[#This Row],[land_extract]]*Lookups!$B$3</f>
        <v>32806.481099880541</v>
      </c>
      <c r="BI437" s="8">
        <f>IF(Granger_Inventory[[#This Row],[bldg_style]]="",0,Lookups!$B$2)</f>
        <v>29703.559000000001</v>
      </c>
      <c r="BJ437" s="8">
        <f>_xlfn.IFNA(VLOOKUP(Granger_Inventory[[#This Row],[quality]],Lookups!$H$2:$J$14,3,FALSE),0)</f>
        <v>34195</v>
      </c>
      <c r="BK437" s="8">
        <f>_xlfn.IFNA(VLOOKUP(Granger_Inventory[[#This Row],[condition]],Lookups!$H$17:$J$24,3,FALSE),0)</f>
        <v>33736</v>
      </c>
      <c r="BL437" s="8">
        <f>Granger_Inventory[[#This Row],[Age]]*Lookups!$B$16</f>
        <v>-8915.2372999999989</v>
      </c>
      <c r="BM437" s="8">
        <f>Granger_Inventory[[#This Row],[living_area]]*Lookups!$B$17</f>
        <v>67811.092271999994</v>
      </c>
      <c r="BN437" s="8">
        <f>(Granger_Inventory[[#This Row],[att_gar]]+Granger_Inventory[[#This Row],[blt_gar]])*Lookups!$B$18</f>
        <v>13952.904768</v>
      </c>
      <c r="BO437" s="8">
        <f>Granger_Inventory[[#This Row],[Patio]]*Lookups!$B$19</f>
        <v>0</v>
      </c>
      <c r="BP437" s="8">
        <f>SUM(Granger_Inventory[[#This Row],[Intercept]:[Patio_Value]])*Granger_Inventory[[#This Row],[res_pct]]</f>
        <v>170483.31874000002</v>
      </c>
      <c r="BQ437" s="8">
        <f>Granger_Inventory[[#This Row],[land_value]]</f>
        <v>32806.481099880541</v>
      </c>
      <c r="BR437" s="4">
        <f>_xlfn.IFNA(VLOOKUP(Granger_Inventory[[#This Row],[quality]],Lookups!$A$25:$C$35,3,FALSE),1)</f>
        <v>0.98258795897788032</v>
      </c>
      <c r="BS437" s="4">
        <f>_xlfn.IFNA(VLOOKUP(Granger_Inventory[[#This Row],[condition]],Lookups!$A$38:$C$45,3,FALSE),1)</f>
        <v>0.92294678898076177</v>
      </c>
      <c r="BT437" s="4">
        <f>IF(Granger_Inventory[[#This Row],[decade]]="",1,_xlfn.IFNA(VLOOKUP(Granger_Inventory[[#This Row],[decade]],Lookups!$G$28:$I$42,3,FALSE),1))</f>
        <v>1.2441094871772171</v>
      </c>
      <c r="BU437" s="4">
        <f>_xlfn.IFNA(VLOOKUP(Granger_Inventory[[#This Row],[living_area_range]],Lookups!$A$48:$C$57,3,FALSE),1)</f>
        <v>0.97960506760539345</v>
      </c>
      <c r="BV437" s="4">
        <f>AVERAGE(Granger_Inventory[[#This Row],[qual_adj]:[living_range_adj]])</f>
        <v>1.0323123256853131</v>
      </c>
      <c r="BW437" s="8">
        <f>(Granger_Inventory[[#This Row],[sum_land]]-IF(Granger_Inventory[[#This Row],[no_utilities]]=1,12000,0))/IF(Granger_Inventory[[#This Row],[unbuildable]]=1,2,1)</f>
        <v>32806.481099880541</v>
      </c>
      <c r="BX437" s="8">
        <f>Granger_Inventory[[#This Row],[pre_res]]*Granger_Inventory[[#This Row],[overall_adj]]</f>
        <v>175992.03125903994</v>
      </c>
      <c r="BY437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37">
        <f>ROUND(Granger_Inventory[[#This Row],[detatched_value]]*Lookups!$I$45,-2)</f>
        <v>0</v>
      </c>
      <c r="CA437">
        <f>IF(ROUND(Granger_Inventory[[#This Row],[adj_res]]*Lookups!$I$45,-2)&lt;Granger_Inventory[[#This Row],[min_res]],Granger_Inventory[[#This Row],[min_res]],ROUND(Granger_Inventory[[#This Row],[adj_res]]*Lookups!$I$45,-2))</f>
        <v>167200</v>
      </c>
      <c r="CB437">
        <f>Granger_Inventory[[#This Row],[final_det]]+Granger_Inventory[[#This Row],[final_res]]</f>
        <v>167200</v>
      </c>
      <c r="CC437">
        <f>Granger_Inventory[[#This Row],[final_land]]+Granger_Inventory[[#This Row],[final_imp]]+Granger_Inventory[[#This Row],[crop_value]]</f>
        <v>198400</v>
      </c>
      <c r="CE437" t="str">
        <f t="shared" si="6"/>
        <v>update valuation set market_land =31200, market_bldg=167200, market_total =198400, market_mdno =402, market_date ='9/10/2023' where link_id = (select link_id from parcel where parcel_year = '2024' and parcel_id = '21102114514');</v>
      </c>
    </row>
    <row r="438" spans="1:83" x14ac:dyDescent="0.25">
      <c r="A438">
        <v>21102114515</v>
      </c>
      <c r="B438">
        <v>0.24</v>
      </c>
      <c r="C438" t="s">
        <v>137</v>
      </c>
      <c r="D438" t="s">
        <v>137</v>
      </c>
      <c r="E438" t="s">
        <v>54</v>
      </c>
      <c r="F438" t="s">
        <v>54</v>
      </c>
      <c r="G438">
        <v>3</v>
      </c>
      <c r="H438" t="s">
        <v>55</v>
      </c>
      <c r="I438">
        <v>111700</v>
      </c>
      <c r="J438">
        <v>27200</v>
      </c>
      <c r="K438">
        <v>0.24</v>
      </c>
      <c r="L438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38">
        <v>0</v>
      </c>
      <c r="N438">
        <v>0</v>
      </c>
      <c r="O438">
        <v>0</v>
      </c>
      <c r="P438">
        <v>47108.068500000001</v>
      </c>
      <c r="Q438">
        <v>122298</v>
      </c>
      <c r="R438">
        <f>(Granger_Inventory[[#This Row],[ln_acres]]*Granger_Inventory[[#This Row],[coeff]])+Granger_Inventory[[#This Row],[const]]</f>
        <v>55069.304961033646</v>
      </c>
      <c r="S438" t="s">
        <v>56</v>
      </c>
      <c r="T438">
        <v>1</v>
      </c>
      <c r="U438" t="s">
        <v>71</v>
      </c>
      <c r="V438" t="s">
        <v>77</v>
      </c>
      <c r="W438">
        <v>0</v>
      </c>
      <c r="X438">
        <v>0</v>
      </c>
      <c r="Y438">
        <v>43</v>
      </c>
      <c r="Z438">
        <v>43</v>
      </c>
      <c r="AA438">
        <v>50</v>
      </c>
      <c r="AB438">
        <v>1500</v>
      </c>
      <c r="AC438">
        <v>1296</v>
      </c>
      <c r="AD438">
        <v>1296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5</v>
      </c>
      <c r="AQ438">
        <v>0</v>
      </c>
      <c r="AR438">
        <v>0</v>
      </c>
      <c r="AS438" t="s">
        <v>59</v>
      </c>
      <c r="AT438">
        <v>1</v>
      </c>
      <c r="AU438" t="s">
        <v>60</v>
      </c>
      <c r="AV438" t="s">
        <v>65</v>
      </c>
      <c r="AW438">
        <v>0</v>
      </c>
      <c r="AX438">
        <v>3</v>
      </c>
      <c r="AY438">
        <v>0</v>
      </c>
      <c r="AZ438">
        <v>0</v>
      </c>
      <c r="BA438">
        <v>100</v>
      </c>
      <c r="BB438">
        <v>100</v>
      </c>
      <c r="BC438">
        <v>100</v>
      </c>
      <c r="BD438">
        <v>100</v>
      </c>
      <c r="BE438">
        <v>1</v>
      </c>
      <c r="BF438">
        <v>15000</v>
      </c>
      <c r="BG438">
        <v>1000</v>
      </c>
      <c r="BH438" s="8">
        <f>Granger_Inventory[[#This Row],[land_extract]]*Lookups!$B$3</f>
        <v>32806.481099880541</v>
      </c>
      <c r="BI438" s="8">
        <f>IF(Granger_Inventory[[#This Row],[bldg_style]]="",0,Lookups!$B$2)</f>
        <v>29703.559000000001</v>
      </c>
      <c r="BJ438" s="8">
        <f>_xlfn.IFNA(VLOOKUP(Granger_Inventory[[#This Row],[quality]],Lookups!$H$2:$J$14,3,FALSE),0)</f>
        <v>34195</v>
      </c>
      <c r="BK438" s="8">
        <f>_xlfn.IFNA(VLOOKUP(Granger_Inventory[[#This Row],[condition]],Lookups!$H$17:$J$24,3,FALSE),0)</f>
        <v>33736</v>
      </c>
      <c r="BL438" s="8">
        <f>Granger_Inventory[[#This Row],[Age]]*Lookups!$B$16</f>
        <v>-8915.2372999999989</v>
      </c>
      <c r="BM438" s="8">
        <f>Granger_Inventory[[#This Row],[living_area]]*Lookups!$B$17</f>
        <v>87185.690063999995</v>
      </c>
      <c r="BN438" s="8">
        <f>(Granger_Inventory[[#This Row],[att_gar]]+Granger_Inventory[[#This Row],[blt_gar]])*Lookups!$B$18</f>
        <v>0</v>
      </c>
      <c r="BO438" s="8">
        <f>Granger_Inventory[[#This Row],[Patio]]*Lookups!$B$19</f>
        <v>0</v>
      </c>
      <c r="BP438" s="8">
        <f>SUM(Granger_Inventory[[#This Row],[Intercept]:[Patio_Value]])*Granger_Inventory[[#This Row],[res_pct]]</f>
        <v>175905.011764</v>
      </c>
      <c r="BQ438" s="8">
        <f>Granger_Inventory[[#This Row],[land_value]]</f>
        <v>32806.481099880541</v>
      </c>
      <c r="BR438" s="4">
        <f>_xlfn.IFNA(VLOOKUP(Granger_Inventory[[#This Row],[quality]],Lookups!$A$25:$C$35,3,FALSE),1)</f>
        <v>0.98258795897788032</v>
      </c>
      <c r="BS438" s="4">
        <f>_xlfn.IFNA(VLOOKUP(Granger_Inventory[[#This Row],[condition]],Lookups!$A$38:$C$45,3,FALSE),1)</f>
        <v>0.92294678898076177</v>
      </c>
      <c r="BT438" s="4">
        <f>IF(Granger_Inventory[[#This Row],[decade]]="",1,_xlfn.IFNA(VLOOKUP(Granger_Inventory[[#This Row],[decade]],Lookups!$G$28:$I$42,3,FALSE),1))</f>
        <v>1.2441094871772171</v>
      </c>
      <c r="BU438" s="4">
        <f>_xlfn.IFNA(VLOOKUP(Granger_Inventory[[#This Row],[living_area_range]],Lookups!$A$48:$C$57,3,FALSE),1)</f>
        <v>0.97960506760539345</v>
      </c>
      <c r="BV438" s="4">
        <f>AVERAGE(Granger_Inventory[[#This Row],[qual_adj]:[living_range_adj]])</f>
        <v>1.0323123256853131</v>
      </c>
      <c r="BW438" s="8">
        <f>(Granger_Inventory[[#This Row],[sum_land]]-IF(Granger_Inventory[[#This Row],[no_utilities]]=1,12000,0))/IF(Granger_Inventory[[#This Row],[unbuildable]]=1,2,1)</f>
        <v>32806.481099880541</v>
      </c>
      <c r="BX438" s="8">
        <f>Granger_Inventory[[#This Row],[pre_res]]*Granger_Inventory[[#This Row],[overall_adj]]</f>
        <v>181588.91179379719</v>
      </c>
      <c r="BY438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38">
        <f>ROUND(Granger_Inventory[[#This Row],[detatched_value]]*Lookups!$I$45,-2)</f>
        <v>0</v>
      </c>
      <c r="CA438">
        <f>IF(ROUND(Granger_Inventory[[#This Row],[adj_res]]*Lookups!$I$45,-2)&lt;Granger_Inventory[[#This Row],[min_res]],Granger_Inventory[[#This Row],[min_res]],ROUND(Granger_Inventory[[#This Row],[adj_res]]*Lookups!$I$45,-2))</f>
        <v>172500</v>
      </c>
      <c r="CB438">
        <f>Granger_Inventory[[#This Row],[final_det]]+Granger_Inventory[[#This Row],[final_res]]</f>
        <v>172500</v>
      </c>
      <c r="CC438">
        <f>Granger_Inventory[[#This Row],[final_land]]+Granger_Inventory[[#This Row],[final_imp]]+Granger_Inventory[[#This Row],[crop_value]]</f>
        <v>203700</v>
      </c>
      <c r="CE438" t="str">
        <f t="shared" si="6"/>
        <v>update valuation set market_land =31200, market_bldg=172500, market_total =203700, market_mdno =402, market_date ='9/10/2023' where link_id = (select link_id from parcel where parcel_year = '2024' and parcel_id = '21102114515');</v>
      </c>
    </row>
    <row r="439" spans="1:83" x14ac:dyDescent="0.25">
      <c r="A439">
        <v>21102114516</v>
      </c>
      <c r="B439">
        <v>0.24</v>
      </c>
      <c r="C439" t="s">
        <v>137</v>
      </c>
      <c r="D439" t="s">
        <v>137</v>
      </c>
      <c r="E439" t="s">
        <v>54</v>
      </c>
      <c r="F439" t="s">
        <v>54</v>
      </c>
      <c r="G439">
        <v>3</v>
      </c>
      <c r="H439" t="s">
        <v>55</v>
      </c>
      <c r="I439">
        <v>111400</v>
      </c>
      <c r="J439">
        <v>27200</v>
      </c>
      <c r="K439">
        <v>0.24</v>
      </c>
      <c r="L439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39">
        <v>0</v>
      </c>
      <c r="N439">
        <v>0</v>
      </c>
      <c r="O439">
        <v>0</v>
      </c>
      <c r="P439">
        <v>47108.068500000001</v>
      </c>
      <c r="Q439">
        <v>122298</v>
      </c>
      <c r="R439">
        <f>(Granger_Inventory[[#This Row],[ln_acres]]*Granger_Inventory[[#This Row],[coeff]])+Granger_Inventory[[#This Row],[const]]</f>
        <v>55069.304961033646</v>
      </c>
      <c r="S439" t="s">
        <v>56</v>
      </c>
      <c r="T439">
        <v>1</v>
      </c>
      <c r="U439" t="s">
        <v>71</v>
      </c>
      <c r="V439" t="s">
        <v>77</v>
      </c>
      <c r="W439">
        <v>0</v>
      </c>
      <c r="X439">
        <v>0</v>
      </c>
      <c r="Y439">
        <v>43</v>
      </c>
      <c r="Z439">
        <v>43</v>
      </c>
      <c r="AA439">
        <v>50</v>
      </c>
      <c r="AB439">
        <v>1500</v>
      </c>
      <c r="AC439">
        <v>1008</v>
      </c>
      <c r="AD439">
        <v>1008</v>
      </c>
      <c r="AE439">
        <v>0</v>
      </c>
      <c r="AF439">
        <v>0</v>
      </c>
      <c r="AG439">
        <v>0</v>
      </c>
      <c r="AH439">
        <v>0</v>
      </c>
      <c r="AI439">
        <v>288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5</v>
      </c>
      <c r="AQ439">
        <v>1</v>
      </c>
      <c r="AR439">
        <v>0</v>
      </c>
      <c r="AS439" t="s">
        <v>59</v>
      </c>
      <c r="AT439">
        <v>1</v>
      </c>
      <c r="AU439" t="s">
        <v>60</v>
      </c>
      <c r="AV439" t="s">
        <v>65</v>
      </c>
      <c r="AW439">
        <v>0</v>
      </c>
      <c r="AX439">
        <v>3</v>
      </c>
      <c r="AY439">
        <v>0</v>
      </c>
      <c r="AZ439">
        <v>0</v>
      </c>
      <c r="BA439">
        <v>100</v>
      </c>
      <c r="BB439">
        <v>100</v>
      </c>
      <c r="BC439">
        <v>100</v>
      </c>
      <c r="BD439">
        <v>100</v>
      </c>
      <c r="BE439">
        <v>1</v>
      </c>
      <c r="BF439">
        <v>15000</v>
      </c>
      <c r="BG439">
        <v>1000</v>
      </c>
      <c r="BH439" s="8">
        <f>Granger_Inventory[[#This Row],[land_extract]]*Lookups!$B$3</f>
        <v>32806.481099880541</v>
      </c>
      <c r="BI439" s="8">
        <f>IF(Granger_Inventory[[#This Row],[bldg_style]]="",0,Lookups!$B$2)</f>
        <v>29703.559000000001</v>
      </c>
      <c r="BJ439" s="8">
        <f>_xlfn.IFNA(VLOOKUP(Granger_Inventory[[#This Row],[quality]],Lookups!$H$2:$J$14,3,FALSE),0)</f>
        <v>34195</v>
      </c>
      <c r="BK439" s="8">
        <f>_xlfn.IFNA(VLOOKUP(Granger_Inventory[[#This Row],[condition]],Lookups!$H$17:$J$24,3,FALSE),0)</f>
        <v>33736</v>
      </c>
      <c r="BL439" s="8">
        <f>Granger_Inventory[[#This Row],[Age]]*Lookups!$B$16</f>
        <v>-8915.2372999999989</v>
      </c>
      <c r="BM439" s="8">
        <f>Granger_Inventory[[#This Row],[living_area]]*Lookups!$B$17</f>
        <v>67811.092271999994</v>
      </c>
      <c r="BN439" s="8">
        <f>(Granger_Inventory[[#This Row],[att_gar]]+Granger_Inventory[[#This Row],[blt_gar]])*Lookups!$B$18</f>
        <v>13952.904768</v>
      </c>
      <c r="BO439" s="8">
        <f>Granger_Inventory[[#This Row],[Patio]]*Lookups!$B$19</f>
        <v>0</v>
      </c>
      <c r="BP439" s="8">
        <f>SUM(Granger_Inventory[[#This Row],[Intercept]:[Patio_Value]])*Granger_Inventory[[#This Row],[res_pct]]</f>
        <v>170483.31874000002</v>
      </c>
      <c r="BQ439" s="8">
        <f>Granger_Inventory[[#This Row],[land_value]]</f>
        <v>32806.481099880541</v>
      </c>
      <c r="BR439" s="4">
        <f>_xlfn.IFNA(VLOOKUP(Granger_Inventory[[#This Row],[quality]],Lookups!$A$25:$C$35,3,FALSE),1)</f>
        <v>0.98258795897788032</v>
      </c>
      <c r="BS439" s="4">
        <f>_xlfn.IFNA(VLOOKUP(Granger_Inventory[[#This Row],[condition]],Lookups!$A$38:$C$45,3,FALSE),1)</f>
        <v>0.92294678898076177</v>
      </c>
      <c r="BT439" s="4">
        <f>IF(Granger_Inventory[[#This Row],[decade]]="",1,_xlfn.IFNA(VLOOKUP(Granger_Inventory[[#This Row],[decade]],Lookups!$G$28:$I$42,3,FALSE),1))</f>
        <v>1.2441094871772171</v>
      </c>
      <c r="BU439" s="4">
        <f>_xlfn.IFNA(VLOOKUP(Granger_Inventory[[#This Row],[living_area_range]],Lookups!$A$48:$C$57,3,FALSE),1)</f>
        <v>0.97960506760539345</v>
      </c>
      <c r="BV439" s="4">
        <f>AVERAGE(Granger_Inventory[[#This Row],[qual_adj]:[living_range_adj]])</f>
        <v>1.0323123256853131</v>
      </c>
      <c r="BW439" s="8">
        <f>(Granger_Inventory[[#This Row],[sum_land]]-IF(Granger_Inventory[[#This Row],[no_utilities]]=1,12000,0))/IF(Granger_Inventory[[#This Row],[unbuildable]]=1,2,1)</f>
        <v>32806.481099880541</v>
      </c>
      <c r="BX439" s="8">
        <f>Granger_Inventory[[#This Row],[pre_res]]*Granger_Inventory[[#This Row],[overall_adj]]</f>
        <v>175992.03125903994</v>
      </c>
      <c r="BY439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39">
        <f>ROUND(Granger_Inventory[[#This Row],[detatched_value]]*Lookups!$I$45,-2)</f>
        <v>0</v>
      </c>
      <c r="CA439">
        <f>IF(ROUND(Granger_Inventory[[#This Row],[adj_res]]*Lookups!$I$45,-2)&lt;Granger_Inventory[[#This Row],[min_res]],Granger_Inventory[[#This Row],[min_res]],ROUND(Granger_Inventory[[#This Row],[adj_res]]*Lookups!$I$45,-2))</f>
        <v>167200</v>
      </c>
      <c r="CB439">
        <f>Granger_Inventory[[#This Row],[final_det]]+Granger_Inventory[[#This Row],[final_res]]</f>
        <v>167200</v>
      </c>
      <c r="CC439">
        <f>Granger_Inventory[[#This Row],[final_land]]+Granger_Inventory[[#This Row],[final_imp]]+Granger_Inventory[[#This Row],[crop_value]]</f>
        <v>198400</v>
      </c>
      <c r="CE439" t="str">
        <f t="shared" si="6"/>
        <v>update valuation set market_land =31200, market_bldg=167200, market_total =198400, market_mdno =402, market_date ='9/10/2023' where link_id = (select link_id from parcel where parcel_year = '2024' and parcel_id = '21102114516');</v>
      </c>
    </row>
    <row r="440" spans="1:83" x14ac:dyDescent="0.25">
      <c r="A440">
        <v>21102114517</v>
      </c>
      <c r="B440">
        <v>0.24</v>
      </c>
      <c r="C440" t="s">
        <v>137</v>
      </c>
      <c r="D440" t="s">
        <v>137</v>
      </c>
      <c r="E440" t="s">
        <v>54</v>
      </c>
      <c r="F440" t="s">
        <v>54</v>
      </c>
      <c r="G440">
        <v>3</v>
      </c>
      <c r="H440" t="s">
        <v>55</v>
      </c>
      <c r="I440">
        <v>98700</v>
      </c>
      <c r="J440">
        <v>27200</v>
      </c>
      <c r="K440">
        <v>0.24</v>
      </c>
      <c r="L440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40">
        <v>0</v>
      </c>
      <c r="N440">
        <v>0</v>
      </c>
      <c r="O440">
        <v>0</v>
      </c>
      <c r="P440">
        <v>47108.068500000001</v>
      </c>
      <c r="Q440">
        <v>122298</v>
      </c>
      <c r="R440">
        <f>(Granger_Inventory[[#This Row],[ln_acres]]*Granger_Inventory[[#This Row],[coeff]])+Granger_Inventory[[#This Row],[const]]</f>
        <v>55069.304961033646</v>
      </c>
      <c r="S440" t="s">
        <v>56</v>
      </c>
      <c r="T440">
        <v>1</v>
      </c>
      <c r="U440" t="s">
        <v>71</v>
      </c>
      <c r="V440" t="s">
        <v>79</v>
      </c>
      <c r="W440">
        <v>0</v>
      </c>
      <c r="X440">
        <v>0</v>
      </c>
      <c r="Y440">
        <v>43</v>
      </c>
      <c r="Z440">
        <v>43</v>
      </c>
      <c r="AA440">
        <v>50</v>
      </c>
      <c r="AB440">
        <v>1500</v>
      </c>
      <c r="AC440">
        <v>1296</v>
      </c>
      <c r="AD440">
        <v>1296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5</v>
      </c>
      <c r="AQ440">
        <v>0</v>
      </c>
      <c r="AR440">
        <v>0</v>
      </c>
      <c r="AS440" t="s">
        <v>59</v>
      </c>
      <c r="AT440">
        <v>1</v>
      </c>
      <c r="AU440" t="s">
        <v>60</v>
      </c>
      <c r="AV440" t="s">
        <v>65</v>
      </c>
      <c r="AW440">
        <v>0</v>
      </c>
      <c r="AX440">
        <v>3</v>
      </c>
      <c r="AY440">
        <v>0</v>
      </c>
      <c r="AZ440">
        <v>0</v>
      </c>
      <c r="BA440">
        <v>100</v>
      </c>
      <c r="BB440">
        <v>100</v>
      </c>
      <c r="BC440">
        <v>100</v>
      </c>
      <c r="BD440">
        <v>100</v>
      </c>
      <c r="BE440">
        <v>1</v>
      </c>
      <c r="BF440">
        <v>15000</v>
      </c>
      <c r="BG440">
        <v>1000</v>
      </c>
      <c r="BH440" s="8">
        <f>Granger_Inventory[[#This Row],[land_extract]]*Lookups!$B$3</f>
        <v>32806.481099880541</v>
      </c>
      <c r="BI440" s="8">
        <f>IF(Granger_Inventory[[#This Row],[bldg_style]]="",0,Lookups!$B$2)</f>
        <v>29703.559000000001</v>
      </c>
      <c r="BJ440" s="8">
        <f>_xlfn.IFNA(VLOOKUP(Granger_Inventory[[#This Row],[quality]],Lookups!$H$2:$J$14,3,FALSE),0)</f>
        <v>34195</v>
      </c>
      <c r="BK440" s="8">
        <f>_xlfn.IFNA(VLOOKUP(Granger_Inventory[[#This Row],[condition]],Lookups!$H$17:$J$24,3,FALSE),0)</f>
        <v>86727</v>
      </c>
      <c r="BL440" s="8">
        <f>Granger_Inventory[[#This Row],[Age]]*Lookups!$B$16</f>
        <v>-8915.2372999999989</v>
      </c>
      <c r="BM440" s="8">
        <f>Granger_Inventory[[#This Row],[living_area]]*Lookups!$B$17</f>
        <v>87185.690063999995</v>
      </c>
      <c r="BN440" s="8">
        <f>(Granger_Inventory[[#This Row],[att_gar]]+Granger_Inventory[[#This Row],[blt_gar]])*Lookups!$B$18</f>
        <v>0</v>
      </c>
      <c r="BO440" s="8">
        <f>Granger_Inventory[[#This Row],[Patio]]*Lookups!$B$19</f>
        <v>0</v>
      </c>
      <c r="BP440" s="8">
        <f>SUM(Granger_Inventory[[#This Row],[Intercept]:[Patio_Value]])*Granger_Inventory[[#This Row],[res_pct]]</f>
        <v>228896.011764</v>
      </c>
      <c r="BQ440" s="8">
        <f>Granger_Inventory[[#This Row],[land_value]]</f>
        <v>32806.481099880541</v>
      </c>
      <c r="BR440" s="4">
        <f>_xlfn.IFNA(VLOOKUP(Granger_Inventory[[#This Row],[quality]],Lookups!$A$25:$C$35,3,FALSE),1)</f>
        <v>0.98258795897788032</v>
      </c>
      <c r="BS440" s="4">
        <f>_xlfn.IFNA(VLOOKUP(Granger_Inventory[[#This Row],[condition]],Lookups!$A$38:$C$45,3,FALSE),1)</f>
        <v>0.85322907131620684</v>
      </c>
      <c r="BT440" s="4">
        <f>IF(Granger_Inventory[[#This Row],[decade]]="",1,_xlfn.IFNA(VLOOKUP(Granger_Inventory[[#This Row],[decade]],Lookups!$G$28:$I$42,3,FALSE),1))</f>
        <v>1.2441094871772171</v>
      </c>
      <c r="BU440" s="4">
        <f>_xlfn.IFNA(VLOOKUP(Granger_Inventory[[#This Row],[living_area_range]],Lookups!$A$48:$C$57,3,FALSE),1)</f>
        <v>0.97960506760539345</v>
      </c>
      <c r="BV440" s="4">
        <f>AVERAGE(Granger_Inventory[[#This Row],[qual_adj]:[living_range_adj]])</f>
        <v>1.0148828962691745</v>
      </c>
      <c r="BW440" s="8">
        <f>(Granger_Inventory[[#This Row],[sum_land]]-IF(Granger_Inventory[[#This Row],[no_utilities]]=1,12000,0))/IF(Granger_Inventory[[#This Row],[unbuildable]]=1,2,1)</f>
        <v>32806.481099880541</v>
      </c>
      <c r="BX440" s="8">
        <f>Granger_Inventory[[#This Row],[pre_res]]*Granger_Inventory[[#This Row],[overall_adj]]</f>
        <v>232302.64736351135</v>
      </c>
      <c r="BY440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40">
        <f>ROUND(Granger_Inventory[[#This Row],[detatched_value]]*Lookups!$I$45,-2)</f>
        <v>0</v>
      </c>
      <c r="CA440">
        <f>IF(ROUND(Granger_Inventory[[#This Row],[adj_res]]*Lookups!$I$45,-2)&lt;Granger_Inventory[[#This Row],[min_res]],Granger_Inventory[[#This Row],[min_res]],ROUND(Granger_Inventory[[#This Row],[adj_res]]*Lookups!$I$45,-2))</f>
        <v>220700</v>
      </c>
      <c r="CB440">
        <f>Granger_Inventory[[#This Row],[final_det]]+Granger_Inventory[[#This Row],[final_res]]</f>
        <v>220700</v>
      </c>
      <c r="CC440">
        <f>Granger_Inventory[[#This Row],[final_land]]+Granger_Inventory[[#This Row],[final_imp]]+Granger_Inventory[[#This Row],[crop_value]]</f>
        <v>251900</v>
      </c>
      <c r="CE440" t="str">
        <f t="shared" si="6"/>
        <v>update valuation set market_land =31200, market_bldg=220700, market_total =251900, market_mdno =402, market_date ='9/10/2023' where link_id = (select link_id from parcel where parcel_year = '2024' and parcel_id = '21102114517');</v>
      </c>
    </row>
    <row r="441" spans="1:83" x14ac:dyDescent="0.25">
      <c r="A441">
        <v>21102114520</v>
      </c>
      <c r="B441">
        <v>0.18</v>
      </c>
      <c r="C441" t="s">
        <v>137</v>
      </c>
      <c r="D441" t="s">
        <v>137</v>
      </c>
      <c r="E441" t="s">
        <v>54</v>
      </c>
      <c r="F441" t="s">
        <v>54</v>
      </c>
      <c r="G441">
        <v>3</v>
      </c>
      <c r="H441" t="s">
        <v>55</v>
      </c>
      <c r="I441">
        <v>36800</v>
      </c>
      <c r="J441">
        <v>25600</v>
      </c>
      <c r="K441">
        <v>0.18</v>
      </c>
      <c r="L441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441">
        <v>0</v>
      </c>
      <c r="N441">
        <v>0</v>
      </c>
      <c r="O441">
        <v>0</v>
      </c>
      <c r="P441">
        <v>47108.068500000001</v>
      </c>
      <c r="Q441">
        <v>122298</v>
      </c>
      <c r="R441">
        <f>(Granger_Inventory[[#This Row],[ln_acres]]*Granger_Inventory[[#This Row],[coeff]])+Granger_Inventory[[#This Row],[const]]</f>
        <v>41517.1581857532</v>
      </c>
      <c r="S441" t="s">
        <v>69</v>
      </c>
      <c r="T441">
        <v>1</v>
      </c>
      <c r="U441" t="s">
        <v>78</v>
      </c>
      <c r="V441" t="s">
        <v>79</v>
      </c>
      <c r="W441">
        <v>0</v>
      </c>
      <c r="X441">
        <v>0</v>
      </c>
      <c r="Y441">
        <v>53</v>
      </c>
      <c r="Z441">
        <v>93</v>
      </c>
      <c r="AA441">
        <v>100</v>
      </c>
      <c r="AB441">
        <v>1000</v>
      </c>
      <c r="AC441">
        <v>804</v>
      </c>
      <c r="AD441">
        <v>804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5</v>
      </c>
      <c r="AQ441">
        <v>0</v>
      </c>
      <c r="AR441">
        <v>0</v>
      </c>
      <c r="AS441" t="s">
        <v>59</v>
      </c>
      <c r="AT441">
        <v>1</v>
      </c>
      <c r="AU441" t="s">
        <v>76</v>
      </c>
      <c r="AV441" t="s">
        <v>61</v>
      </c>
      <c r="AW441">
        <v>0</v>
      </c>
      <c r="AX441">
        <v>2</v>
      </c>
      <c r="AY441">
        <v>0</v>
      </c>
      <c r="AZ441">
        <v>8900</v>
      </c>
      <c r="BA441">
        <v>100</v>
      </c>
      <c r="BB441">
        <v>100</v>
      </c>
      <c r="BC441">
        <v>100</v>
      </c>
      <c r="BD441">
        <v>100</v>
      </c>
      <c r="BE441">
        <v>1</v>
      </c>
      <c r="BF441">
        <v>15000</v>
      </c>
      <c r="BG441">
        <v>1000</v>
      </c>
      <c r="BH441" s="8">
        <f>Granger_Inventory[[#This Row],[land_extract]]*Lookups!$B$3</f>
        <v>24733.049859725303</v>
      </c>
      <c r="BI441" s="8">
        <f>IF(Granger_Inventory[[#This Row],[bldg_style]]="",0,Lookups!$B$2)</f>
        <v>29703.559000000001</v>
      </c>
      <c r="BJ441" s="8">
        <f>_xlfn.IFNA(VLOOKUP(Granger_Inventory[[#This Row],[quality]],Lookups!$H$2:$J$14,3,FALSE),0)</f>
        <v>23737.786340274597</v>
      </c>
      <c r="BK441" s="8">
        <f>_xlfn.IFNA(VLOOKUP(Granger_Inventory[[#This Row],[condition]],Lookups!$H$17:$J$24,3,FALSE),0)</f>
        <v>86727</v>
      </c>
      <c r="BL441" s="8">
        <f>Granger_Inventory[[#This Row],[Age]]*Lookups!$B$16</f>
        <v>-19281.792300000001</v>
      </c>
      <c r="BM441" s="8">
        <f>Granger_Inventory[[#This Row],[living_area]]*Lookups!$B$17</f>
        <v>54087.418835999997</v>
      </c>
      <c r="BN441" s="8">
        <f>(Granger_Inventory[[#This Row],[att_gar]]+Granger_Inventory[[#This Row],[blt_gar]])*Lookups!$B$18</f>
        <v>0</v>
      </c>
      <c r="BO441" s="8">
        <f>Granger_Inventory[[#This Row],[Patio]]*Lookups!$B$19</f>
        <v>0</v>
      </c>
      <c r="BP441" s="8">
        <f>SUM(Granger_Inventory[[#This Row],[Intercept]:[Patio_Value]])*Granger_Inventory[[#This Row],[res_pct]]</f>
        <v>174973.97187627459</v>
      </c>
      <c r="BQ441" s="8">
        <f>Granger_Inventory[[#This Row],[land_value]]</f>
        <v>24733.049859725303</v>
      </c>
      <c r="BR441" s="4">
        <f>_xlfn.IFNA(VLOOKUP(Granger_Inventory[[#This Row],[quality]],Lookups!$A$25:$C$35,3,FALSE),1)</f>
        <v>0.77695375541795109</v>
      </c>
      <c r="BS441" s="4">
        <f>_xlfn.IFNA(VLOOKUP(Granger_Inventory[[#This Row],[condition]],Lookups!$A$38:$C$45,3,FALSE),1)</f>
        <v>0.85322907131620684</v>
      </c>
      <c r="BT441" s="4">
        <f>IF(Granger_Inventory[[#This Row],[decade]]="",1,_xlfn.IFNA(VLOOKUP(Granger_Inventory[[#This Row],[decade]],Lookups!$G$28:$I$42,3,FALSE),1))</f>
        <v>0.879441629375324</v>
      </c>
      <c r="BU441" s="4">
        <f>_xlfn.IFNA(VLOOKUP(Granger_Inventory[[#This Row],[living_area_range]],Lookups!$A$48:$C$57,3,FALSE),1)</f>
        <v>0.81272404900450645</v>
      </c>
      <c r="BV441" s="4">
        <f>AVERAGE(Granger_Inventory[[#This Row],[qual_adj]:[living_range_adj]])</f>
        <v>0.83058712627849718</v>
      </c>
      <c r="BW441" s="8">
        <f>(Granger_Inventory[[#This Row],[sum_land]]-IF(Granger_Inventory[[#This Row],[no_utilities]]=1,12000,0))/IF(Granger_Inventory[[#This Row],[unbuildable]]=1,2,1)</f>
        <v>24733.049859725303</v>
      </c>
      <c r="BX441" s="8">
        <f>Granger_Inventory[[#This Row],[pre_res]]*Granger_Inventory[[#This Row],[overall_adj]]</f>
        <v>145331.1284742495</v>
      </c>
      <c r="BY441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441">
        <f>ROUND(Granger_Inventory[[#This Row],[detatched_value]]*Lookups!$I$45,-2)</f>
        <v>8500</v>
      </c>
      <c r="CA441">
        <f>IF(ROUND(Granger_Inventory[[#This Row],[adj_res]]*Lookups!$I$45,-2)&lt;Granger_Inventory[[#This Row],[min_res]],Granger_Inventory[[#This Row],[min_res]],ROUND(Granger_Inventory[[#This Row],[adj_res]]*Lookups!$I$45,-2))</f>
        <v>138100</v>
      </c>
      <c r="CB441">
        <f>Granger_Inventory[[#This Row],[final_det]]+Granger_Inventory[[#This Row],[final_res]]</f>
        <v>146600</v>
      </c>
      <c r="CC441">
        <f>Granger_Inventory[[#This Row],[final_land]]+Granger_Inventory[[#This Row],[final_imp]]+Granger_Inventory[[#This Row],[crop_value]]</f>
        <v>170100</v>
      </c>
      <c r="CE441" t="str">
        <f t="shared" si="6"/>
        <v>update valuation set market_land =23500, market_bldg=146600, market_total =170100, market_mdno =402, market_date ='9/10/2023' where link_id = (select link_id from parcel where parcel_year = '2024' and parcel_id = '21102114520');</v>
      </c>
    </row>
    <row r="442" spans="1:83" x14ac:dyDescent="0.25">
      <c r="A442">
        <v>21102114524</v>
      </c>
      <c r="B442">
        <v>0.17</v>
      </c>
      <c r="C442">
        <v>7500</v>
      </c>
      <c r="D442" t="s">
        <v>137</v>
      </c>
      <c r="E442" t="s">
        <v>54</v>
      </c>
      <c r="F442" t="s">
        <v>54</v>
      </c>
      <c r="G442">
        <v>3</v>
      </c>
      <c r="H442" t="s">
        <v>55</v>
      </c>
      <c r="I442">
        <v>222600</v>
      </c>
      <c r="J442">
        <v>25300</v>
      </c>
      <c r="K442">
        <v>0.17</v>
      </c>
      <c r="L442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42">
        <v>0</v>
      </c>
      <c r="N442">
        <v>0</v>
      </c>
      <c r="O442">
        <v>0</v>
      </c>
      <c r="P442">
        <v>47108.068500000001</v>
      </c>
      <c r="Q442">
        <v>122298</v>
      </c>
      <c r="R442">
        <f>(Granger_Inventory[[#This Row],[ln_acres]]*Granger_Inventory[[#This Row],[coeff]])+Granger_Inventory[[#This Row],[const]]</f>
        <v>38824.535711229546</v>
      </c>
      <c r="S442" t="s">
        <v>59</v>
      </c>
      <c r="T442">
        <v>1</v>
      </c>
      <c r="U442" t="s">
        <v>64</v>
      </c>
      <c r="V442" t="s">
        <v>72</v>
      </c>
      <c r="W442">
        <v>0</v>
      </c>
      <c r="X442">
        <v>0</v>
      </c>
      <c r="Y442">
        <v>23</v>
      </c>
      <c r="Z442">
        <v>23</v>
      </c>
      <c r="AA442">
        <v>30</v>
      </c>
      <c r="AB442">
        <v>1500</v>
      </c>
      <c r="AC442">
        <v>1325</v>
      </c>
      <c r="AD442">
        <v>1325</v>
      </c>
      <c r="AE442">
        <v>0</v>
      </c>
      <c r="AF442">
        <v>0</v>
      </c>
      <c r="AG442">
        <v>0</v>
      </c>
      <c r="AH442">
        <v>0</v>
      </c>
      <c r="AI442">
        <v>240</v>
      </c>
      <c r="AJ442">
        <v>0</v>
      </c>
      <c r="AK442">
        <v>0</v>
      </c>
      <c r="AL442">
        <v>0</v>
      </c>
      <c r="AM442">
        <v>444</v>
      </c>
      <c r="AN442">
        <v>120</v>
      </c>
      <c r="AO442">
        <v>96</v>
      </c>
      <c r="AP442">
        <v>8</v>
      </c>
      <c r="AQ442">
        <v>0</v>
      </c>
      <c r="AR442">
        <v>0</v>
      </c>
      <c r="AS442" t="s">
        <v>59</v>
      </c>
      <c r="AT442">
        <v>1</v>
      </c>
      <c r="AU442" t="s">
        <v>60</v>
      </c>
      <c r="AV442" t="s">
        <v>61</v>
      </c>
      <c r="AW442">
        <v>1</v>
      </c>
      <c r="AX442">
        <v>3</v>
      </c>
      <c r="AY442">
        <v>0</v>
      </c>
      <c r="AZ442">
        <v>0</v>
      </c>
      <c r="BA442">
        <v>100</v>
      </c>
      <c r="BB442">
        <v>100</v>
      </c>
      <c r="BC442">
        <v>100</v>
      </c>
      <c r="BD442">
        <v>100</v>
      </c>
      <c r="BE442">
        <v>1</v>
      </c>
      <c r="BF442">
        <v>15000</v>
      </c>
      <c r="BG442">
        <v>1000</v>
      </c>
      <c r="BH442" s="8">
        <f>Granger_Inventory[[#This Row],[land_extract]]*Lookups!$B$3</f>
        <v>23128.971718879347</v>
      </c>
      <c r="BI442" s="8">
        <f>IF(Granger_Inventory[[#This Row],[bldg_style]]="",0,Lookups!$B$2)</f>
        <v>29703.559000000001</v>
      </c>
      <c r="BJ442" s="8">
        <f>_xlfn.IFNA(VLOOKUP(Granger_Inventory[[#This Row],[quality]],Lookups!$H$2:$J$14,3,FALSE),0)</f>
        <v>36568</v>
      </c>
      <c r="BK442" s="8">
        <f>_xlfn.IFNA(VLOOKUP(Granger_Inventory[[#This Row],[condition]],Lookups!$H$17:$J$24,3,FALSE),0)</f>
        <v>94106</v>
      </c>
      <c r="BL442" s="8">
        <f>Granger_Inventory[[#This Row],[Age]]*Lookups!$B$16</f>
        <v>-4768.6152999999995</v>
      </c>
      <c r="BM442" s="8">
        <f>Granger_Inventory[[#This Row],[living_area]]*Lookups!$B$17</f>
        <v>89136.604424999998</v>
      </c>
      <c r="BN442" s="8">
        <f>(Granger_Inventory[[#This Row],[att_gar]]+Granger_Inventory[[#This Row],[blt_gar]])*Lookups!$B$18</f>
        <v>11627.42064</v>
      </c>
      <c r="BO442" s="8">
        <f>Granger_Inventory[[#This Row],[Patio]]*Lookups!$B$19</f>
        <v>24115.902623999998</v>
      </c>
      <c r="BP442" s="8">
        <f>SUM(Granger_Inventory[[#This Row],[Intercept]:[Patio_Value]])*Granger_Inventory[[#This Row],[res_pct]]</f>
        <v>280488.87138899998</v>
      </c>
      <c r="BQ442" s="8">
        <f>Granger_Inventory[[#This Row],[land_value]]</f>
        <v>23128.971718879347</v>
      </c>
      <c r="BR442" s="4">
        <f>_xlfn.IFNA(VLOOKUP(Granger_Inventory[[#This Row],[quality]],Lookups!$A$25:$C$35,3,FALSE),1)</f>
        <v>0.99049976351917957</v>
      </c>
      <c r="BS442" s="4">
        <f>_xlfn.IFNA(VLOOKUP(Granger_Inventory[[#This Row],[condition]],Lookups!$A$38:$C$45,3,FALSE),1)</f>
        <v>0.98658583151544277</v>
      </c>
      <c r="BT442" s="4">
        <f>IF(Granger_Inventory[[#This Row],[decade]]="",1,_xlfn.IFNA(VLOOKUP(Granger_Inventory[[#This Row],[decade]],Lookups!$G$28:$I$42,3,FALSE),1))</f>
        <v>1.0539470644652671</v>
      </c>
      <c r="BU442" s="4">
        <f>_xlfn.IFNA(VLOOKUP(Granger_Inventory[[#This Row],[living_area_range]],Lookups!$A$48:$C$57,3,FALSE),1)</f>
        <v>0.97960506760539345</v>
      </c>
      <c r="BV442" s="4">
        <f>AVERAGE(Granger_Inventory[[#This Row],[qual_adj]:[living_range_adj]])</f>
        <v>1.0026594317763207</v>
      </c>
      <c r="BW442" s="8">
        <f>(Granger_Inventory[[#This Row],[sum_land]]-IF(Granger_Inventory[[#This Row],[no_utilities]]=1,12000,0))/IF(Granger_Inventory[[#This Row],[unbuildable]]=1,2,1)</f>
        <v>23128.971718879347</v>
      </c>
      <c r="BX442" s="8">
        <f>Granger_Inventory[[#This Row],[pre_res]]*Granger_Inventory[[#This Row],[overall_adj]]</f>
        <v>281234.81240647618</v>
      </c>
      <c r="BY442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42">
        <f>ROUND(Granger_Inventory[[#This Row],[detatched_value]]*Lookups!$I$45,-2)</f>
        <v>0</v>
      </c>
      <c r="CA442">
        <f>IF(ROUND(Granger_Inventory[[#This Row],[adj_res]]*Lookups!$I$45,-2)&lt;Granger_Inventory[[#This Row],[min_res]],Granger_Inventory[[#This Row],[min_res]],ROUND(Granger_Inventory[[#This Row],[adj_res]]*Lookups!$I$45,-2))</f>
        <v>267200</v>
      </c>
      <c r="CB442">
        <f>Granger_Inventory[[#This Row],[final_det]]+Granger_Inventory[[#This Row],[final_res]]</f>
        <v>267200</v>
      </c>
      <c r="CC442">
        <f>Granger_Inventory[[#This Row],[final_land]]+Granger_Inventory[[#This Row],[final_imp]]+Granger_Inventory[[#This Row],[crop_value]]</f>
        <v>289200</v>
      </c>
      <c r="CE442" t="str">
        <f t="shared" si="6"/>
        <v>update valuation set market_land =22000, market_bldg=267200, market_total =289200, market_mdno =402, market_date ='9/10/2023' where link_id = (select link_id from parcel where parcel_year = '2024' and parcel_id = '21102114524');</v>
      </c>
    </row>
    <row r="443" spans="1:83" x14ac:dyDescent="0.25">
      <c r="A443">
        <v>21102114525</v>
      </c>
      <c r="B443">
        <v>0.17</v>
      </c>
      <c r="C443">
        <v>7500</v>
      </c>
      <c r="D443">
        <v>0.17</v>
      </c>
      <c r="E443" t="s">
        <v>54</v>
      </c>
      <c r="F443" t="s">
        <v>54</v>
      </c>
      <c r="G443">
        <v>3</v>
      </c>
      <c r="H443" t="s">
        <v>55</v>
      </c>
      <c r="I443">
        <v>239500</v>
      </c>
      <c r="J443">
        <v>25300</v>
      </c>
      <c r="K443">
        <v>0.17</v>
      </c>
      <c r="L44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43">
        <v>0</v>
      </c>
      <c r="N443">
        <v>0</v>
      </c>
      <c r="O443">
        <v>0</v>
      </c>
      <c r="P443">
        <v>47108.068500000001</v>
      </c>
      <c r="Q443">
        <v>122298</v>
      </c>
      <c r="R443">
        <f>(Granger_Inventory[[#This Row],[ln_acres]]*Granger_Inventory[[#This Row],[coeff]])+Granger_Inventory[[#This Row],[const]]</f>
        <v>38824.535711229546</v>
      </c>
      <c r="S443" t="s">
        <v>56</v>
      </c>
      <c r="T443">
        <v>1</v>
      </c>
      <c r="U443" t="s">
        <v>64</v>
      </c>
      <c r="V443" t="s">
        <v>58</v>
      </c>
      <c r="W443">
        <v>0</v>
      </c>
      <c r="X443">
        <v>0</v>
      </c>
      <c r="Y443">
        <v>3</v>
      </c>
      <c r="Z443">
        <v>3</v>
      </c>
      <c r="AA443">
        <v>10</v>
      </c>
      <c r="AB443">
        <v>2000</v>
      </c>
      <c r="AC443">
        <v>1516</v>
      </c>
      <c r="AD443">
        <v>1516</v>
      </c>
      <c r="AE443">
        <v>0</v>
      </c>
      <c r="AF443">
        <v>0</v>
      </c>
      <c r="AG443">
        <v>0</v>
      </c>
      <c r="AH443">
        <v>0</v>
      </c>
      <c r="AI443">
        <v>380</v>
      </c>
      <c r="AJ443">
        <v>0</v>
      </c>
      <c r="AK443">
        <v>0</v>
      </c>
      <c r="AL443">
        <v>0</v>
      </c>
      <c r="AM443">
        <v>0</v>
      </c>
      <c r="AN443">
        <v>192</v>
      </c>
      <c r="AO443">
        <v>0</v>
      </c>
      <c r="AP443">
        <v>8</v>
      </c>
      <c r="AQ443">
        <v>0</v>
      </c>
      <c r="AR443">
        <v>0</v>
      </c>
      <c r="AS443" t="s">
        <v>59</v>
      </c>
      <c r="AT443">
        <v>1</v>
      </c>
      <c r="AU443" t="s">
        <v>68</v>
      </c>
      <c r="AV443" t="s">
        <v>65</v>
      </c>
      <c r="AW443">
        <v>0</v>
      </c>
      <c r="AX443">
        <v>3</v>
      </c>
      <c r="AY443">
        <v>0</v>
      </c>
      <c r="AZ443">
        <v>0</v>
      </c>
      <c r="BA443">
        <v>100</v>
      </c>
      <c r="BB443">
        <v>100</v>
      </c>
      <c r="BC443">
        <v>100</v>
      </c>
      <c r="BD443">
        <v>100</v>
      </c>
      <c r="BE443">
        <v>1</v>
      </c>
      <c r="BF443">
        <v>15000</v>
      </c>
      <c r="BG443">
        <v>1000</v>
      </c>
      <c r="BH443" s="8">
        <f>Granger_Inventory[[#This Row],[land_extract]]*Lookups!$B$3</f>
        <v>23128.971718879347</v>
      </c>
      <c r="BI443" s="8">
        <f>IF(Granger_Inventory[[#This Row],[bldg_style]]="",0,Lookups!$B$2)</f>
        <v>29703.559000000001</v>
      </c>
      <c r="BJ443" s="8">
        <f>_xlfn.IFNA(VLOOKUP(Granger_Inventory[[#This Row],[quality]],Lookups!$H$2:$J$14,3,FALSE),0)</f>
        <v>36568</v>
      </c>
      <c r="BK443" s="8">
        <f>_xlfn.IFNA(VLOOKUP(Granger_Inventory[[#This Row],[condition]],Lookups!$H$17:$J$24,3,FALSE),0)</f>
        <v>101774</v>
      </c>
      <c r="BL443" s="8">
        <f>Granger_Inventory[[#This Row],[Age]]*Lookups!$B$16</f>
        <v>-621.99329999999998</v>
      </c>
      <c r="BM443" s="8">
        <f>Granger_Inventory[[#This Row],[living_area]]*Lookups!$B$17</f>
        <v>101985.730044</v>
      </c>
      <c r="BN443" s="8">
        <f>(Granger_Inventory[[#This Row],[att_gar]]+Granger_Inventory[[#This Row],[blt_gar]])*Lookups!$B$18</f>
        <v>18410.08268</v>
      </c>
      <c r="BO443" s="8">
        <f>Granger_Inventory[[#This Row],[Patio]]*Lookups!$B$19</f>
        <v>0</v>
      </c>
      <c r="BP443" s="8">
        <f>SUM(Granger_Inventory[[#This Row],[Intercept]:[Patio_Value]])*Granger_Inventory[[#This Row],[res_pct]]</f>
        <v>287819.37842399999</v>
      </c>
      <c r="BQ443" s="8">
        <f>Granger_Inventory[[#This Row],[land_value]]</f>
        <v>23128.971718879347</v>
      </c>
      <c r="BR443" s="4">
        <f>_xlfn.IFNA(VLOOKUP(Granger_Inventory[[#This Row],[quality]],Lookups!$A$25:$C$35,3,FALSE),1)</f>
        <v>0.99049976351917957</v>
      </c>
      <c r="BS443" s="4">
        <f>_xlfn.IFNA(VLOOKUP(Granger_Inventory[[#This Row],[condition]],Lookups!$A$38:$C$45,3,FALSE),1)</f>
        <v>0.99135053432734199</v>
      </c>
      <c r="BT443" s="4">
        <f>IF(Granger_Inventory[[#This Row],[decade]]="",1,_xlfn.IFNA(VLOOKUP(Granger_Inventory[[#This Row],[decade]],Lookups!$G$28:$I$42,3,FALSE),1))</f>
        <v>0.95532362136731586</v>
      </c>
      <c r="BU443" s="4">
        <f>_xlfn.IFNA(VLOOKUP(Granger_Inventory[[#This Row],[living_area_range]],Lookups!$A$48:$C$57,3,FALSE),1)</f>
        <v>0.97860968051050168</v>
      </c>
      <c r="BV443" s="4">
        <f>AVERAGE(Granger_Inventory[[#This Row],[qual_adj]:[living_range_adj]])</f>
        <v>0.97894589993108483</v>
      </c>
      <c r="BW443" s="8">
        <f>(Granger_Inventory[[#This Row],[sum_land]]-IF(Granger_Inventory[[#This Row],[no_utilities]]=1,12000,0))/IF(Granger_Inventory[[#This Row],[unbuildable]]=1,2,1)</f>
        <v>23128.971718879347</v>
      </c>
      <c r="BX443" s="8">
        <f>Granger_Inventory[[#This Row],[pre_res]]*Granger_Inventory[[#This Row],[overall_adj]]</f>
        <v>281759.60042888811</v>
      </c>
      <c r="BY44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43">
        <f>ROUND(Granger_Inventory[[#This Row],[detatched_value]]*Lookups!$I$45,-2)</f>
        <v>0</v>
      </c>
      <c r="CA443">
        <f>IF(ROUND(Granger_Inventory[[#This Row],[adj_res]]*Lookups!$I$45,-2)&lt;Granger_Inventory[[#This Row],[min_res]],Granger_Inventory[[#This Row],[min_res]],ROUND(Granger_Inventory[[#This Row],[adj_res]]*Lookups!$I$45,-2))</f>
        <v>267700</v>
      </c>
      <c r="CB443">
        <f>Granger_Inventory[[#This Row],[final_det]]+Granger_Inventory[[#This Row],[final_res]]</f>
        <v>267700</v>
      </c>
      <c r="CC443">
        <f>Granger_Inventory[[#This Row],[final_land]]+Granger_Inventory[[#This Row],[final_imp]]+Granger_Inventory[[#This Row],[crop_value]]</f>
        <v>289700</v>
      </c>
      <c r="CE443" t="str">
        <f t="shared" si="6"/>
        <v>update valuation set market_land =22000, market_bldg=267700, market_total =289700, market_mdno =402, market_date ='9/10/2023' where link_id = (select link_id from parcel where parcel_year = '2024' and parcel_id = '21102114525');</v>
      </c>
    </row>
    <row r="444" spans="1:83" x14ac:dyDescent="0.25">
      <c r="A444">
        <v>21102114526</v>
      </c>
      <c r="B444">
        <v>0.17</v>
      </c>
      <c r="C444">
        <v>7500</v>
      </c>
      <c r="D444" t="s">
        <v>137</v>
      </c>
      <c r="E444" t="s">
        <v>54</v>
      </c>
      <c r="F444" t="s">
        <v>54</v>
      </c>
      <c r="G444">
        <v>3</v>
      </c>
      <c r="H444" t="s">
        <v>55</v>
      </c>
      <c r="I444">
        <v>232200</v>
      </c>
      <c r="J444">
        <v>25300</v>
      </c>
      <c r="K444">
        <v>0.17</v>
      </c>
      <c r="L444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44">
        <v>0</v>
      </c>
      <c r="N444">
        <v>0</v>
      </c>
      <c r="O444">
        <v>0</v>
      </c>
      <c r="P444">
        <v>47108.068500000001</v>
      </c>
      <c r="Q444">
        <v>122298</v>
      </c>
      <c r="R444">
        <f>(Granger_Inventory[[#This Row],[ln_acres]]*Granger_Inventory[[#This Row],[coeff]])+Granger_Inventory[[#This Row],[const]]</f>
        <v>38824.535711229546</v>
      </c>
      <c r="S444" t="s">
        <v>56</v>
      </c>
      <c r="T444">
        <v>1</v>
      </c>
      <c r="U444" t="s">
        <v>71</v>
      </c>
      <c r="V444" t="s">
        <v>70</v>
      </c>
      <c r="W444">
        <v>0</v>
      </c>
      <c r="X444">
        <v>0</v>
      </c>
      <c r="Y444">
        <v>16</v>
      </c>
      <c r="Z444">
        <v>16</v>
      </c>
      <c r="AA444">
        <v>20</v>
      </c>
      <c r="AB444">
        <v>2000</v>
      </c>
      <c r="AC444">
        <v>1512</v>
      </c>
      <c r="AD444">
        <v>1512</v>
      </c>
      <c r="AE444">
        <v>0</v>
      </c>
      <c r="AF444">
        <v>0</v>
      </c>
      <c r="AG444">
        <v>0</v>
      </c>
      <c r="AH444">
        <v>0</v>
      </c>
      <c r="AI444">
        <v>312</v>
      </c>
      <c r="AJ444">
        <v>0</v>
      </c>
      <c r="AK444">
        <v>0</v>
      </c>
      <c r="AL444">
        <v>0</v>
      </c>
      <c r="AM444">
        <v>0</v>
      </c>
      <c r="AN444">
        <v>231</v>
      </c>
      <c r="AO444">
        <v>0</v>
      </c>
      <c r="AP444">
        <v>8</v>
      </c>
      <c r="AQ444">
        <v>0</v>
      </c>
      <c r="AR444">
        <v>0</v>
      </c>
      <c r="AS444" t="s">
        <v>59</v>
      </c>
      <c r="AT444">
        <v>1</v>
      </c>
      <c r="AU444" t="s">
        <v>60</v>
      </c>
      <c r="AV444" t="s">
        <v>65</v>
      </c>
      <c r="AW444">
        <v>1</v>
      </c>
      <c r="AX444">
        <v>3</v>
      </c>
      <c r="AY444">
        <v>0</v>
      </c>
      <c r="AZ444">
        <v>0</v>
      </c>
      <c r="BA444">
        <v>100</v>
      </c>
      <c r="BB444">
        <v>100</v>
      </c>
      <c r="BC444">
        <v>100</v>
      </c>
      <c r="BD444">
        <v>100</v>
      </c>
      <c r="BE444">
        <v>1</v>
      </c>
      <c r="BF444">
        <v>15000</v>
      </c>
      <c r="BG444">
        <v>1000</v>
      </c>
      <c r="BH444" s="8">
        <f>Granger_Inventory[[#This Row],[land_extract]]*Lookups!$B$3</f>
        <v>23128.971718879347</v>
      </c>
      <c r="BI444" s="8">
        <f>IF(Granger_Inventory[[#This Row],[bldg_style]]="",0,Lookups!$B$2)</f>
        <v>29703.559000000001</v>
      </c>
      <c r="BJ444" s="8">
        <f>_xlfn.IFNA(VLOOKUP(Granger_Inventory[[#This Row],[quality]],Lookups!$H$2:$J$14,3,FALSE),0)</f>
        <v>34195</v>
      </c>
      <c r="BK444" s="8">
        <f>_xlfn.IFNA(VLOOKUP(Granger_Inventory[[#This Row],[condition]],Lookups!$H$17:$J$24,3,FALSE),0)</f>
        <v>80695</v>
      </c>
      <c r="BL444" s="8">
        <f>Granger_Inventory[[#This Row],[Age]]*Lookups!$B$16</f>
        <v>-3317.2975999999999</v>
      </c>
      <c r="BM444" s="8">
        <f>Granger_Inventory[[#This Row],[living_area]]*Lookups!$B$17</f>
        <v>101716.638408</v>
      </c>
      <c r="BN444" s="8">
        <f>(Granger_Inventory[[#This Row],[att_gar]]+Granger_Inventory[[#This Row],[blt_gar]])*Lookups!$B$18</f>
        <v>15115.646832</v>
      </c>
      <c r="BO444" s="8">
        <f>Granger_Inventory[[#This Row],[Patio]]*Lookups!$B$19</f>
        <v>0</v>
      </c>
      <c r="BP444" s="8">
        <f>SUM(Granger_Inventory[[#This Row],[Intercept]:[Patio_Value]])*Granger_Inventory[[#This Row],[res_pct]]</f>
        <v>258108.54664000002</v>
      </c>
      <c r="BQ444" s="8">
        <f>Granger_Inventory[[#This Row],[land_value]]</f>
        <v>23128.971718879347</v>
      </c>
      <c r="BR444" s="4">
        <f>_xlfn.IFNA(VLOOKUP(Granger_Inventory[[#This Row],[quality]],Lookups!$A$25:$C$35,3,FALSE),1)</f>
        <v>0.98258795897788032</v>
      </c>
      <c r="BS444" s="4">
        <f>_xlfn.IFNA(VLOOKUP(Granger_Inventory[[#This Row],[condition]],Lookups!$A$38:$C$45,3,FALSE),1)</f>
        <v>0.99484195314749324</v>
      </c>
      <c r="BT444" s="4">
        <f>IF(Granger_Inventory[[#This Row],[decade]]="",1,_xlfn.IFNA(VLOOKUP(Granger_Inventory[[#This Row],[decade]],Lookups!$G$28:$I$42,3,FALSE),1))</f>
        <v>1.0159161060824455</v>
      </c>
      <c r="BU444" s="4">
        <f>_xlfn.IFNA(VLOOKUP(Granger_Inventory[[#This Row],[living_area_range]],Lookups!$A$48:$C$57,3,FALSE),1)</f>
        <v>0.97860968051050168</v>
      </c>
      <c r="BV444" s="4">
        <f>AVERAGE(Granger_Inventory[[#This Row],[qual_adj]:[living_range_adj]])</f>
        <v>0.99298892467958022</v>
      </c>
      <c r="BW444" s="8">
        <f>(Granger_Inventory[[#This Row],[sum_land]]-IF(Granger_Inventory[[#This Row],[no_utilities]]=1,12000,0))/IF(Granger_Inventory[[#This Row],[unbuildable]]=1,2,1)</f>
        <v>23128.971718879347</v>
      </c>
      <c r="BX444" s="8">
        <f>Granger_Inventory[[#This Row],[pre_res]]*Granger_Inventory[[#This Row],[overall_adj]]</f>
        <v>256298.9281786629</v>
      </c>
      <c r="BY444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44">
        <f>ROUND(Granger_Inventory[[#This Row],[detatched_value]]*Lookups!$I$45,-2)</f>
        <v>0</v>
      </c>
      <c r="CA444">
        <f>IF(ROUND(Granger_Inventory[[#This Row],[adj_res]]*Lookups!$I$45,-2)&lt;Granger_Inventory[[#This Row],[min_res]],Granger_Inventory[[#This Row],[min_res]],ROUND(Granger_Inventory[[#This Row],[adj_res]]*Lookups!$I$45,-2))</f>
        <v>243500</v>
      </c>
      <c r="CB444">
        <f>Granger_Inventory[[#This Row],[final_det]]+Granger_Inventory[[#This Row],[final_res]]</f>
        <v>243500</v>
      </c>
      <c r="CC444">
        <f>Granger_Inventory[[#This Row],[final_land]]+Granger_Inventory[[#This Row],[final_imp]]+Granger_Inventory[[#This Row],[crop_value]]</f>
        <v>265500</v>
      </c>
      <c r="CE444" t="str">
        <f t="shared" si="6"/>
        <v>update valuation set market_land =22000, market_bldg=243500, market_total =265500, market_mdno =402, market_date ='9/10/2023' where link_id = (select link_id from parcel where parcel_year = '2024' and parcel_id = '21102114526');</v>
      </c>
    </row>
    <row r="445" spans="1:83" x14ac:dyDescent="0.25">
      <c r="A445">
        <v>21102114528</v>
      </c>
      <c r="B445">
        <v>0.17</v>
      </c>
      <c r="C445">
        <v>7500</v>
      </c>
      <c r="D445" t="s">
        <v>137</v>
      </c>
      <c r="E445" t="s">
        <v>54</v>
      </c>
      <c r="F445" t="s">
        <v>54</v>
      </c>
      <c r="G445">
        <v>3</v>
      </c>
      <c r="H445" t="s">
        <v>55</v>
      </c>
      <c r="I445">
        <v>245000</v>
      </c>
      <c r="J445">
        <v>25300</v>
      </c>
      <c r="K445">
        <v>0.17</v>
      </c>
      <c r="L445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45">
        <v>0</v>
      </c>
      <c r="N445">
        <v>0</v>
      </c>
      <c r="O445">
        <v>0</v>
      </c>
      <c r="P445">
        <v>47108.068500000001</v>
      </c>
      <c r="Q445">
        <v>122298</v>
      </c>
      <c r="R445">
        <f>(Granger_Inventory[[#This Row],[ln_acres]]*Granger_Inventory[[#This Row],[coeff]])+Granger_Inventory[[#This Row],[const]]</f>
        <v>38824.535711229546</v>
      </c>
      <c r="S445" t="s">
        <v>69</v>
      </c>
      <c r="T445">
        <v>1</v>
      </c>
      <c r="U445" t="s">
        <v>71</v>
      </c>
      <c r="V445" t="s">
        <v>70</v>
      </c>
      <c r="W445">
        <v>0</v>
      </c>
      <c r="X445">
        <v>0</v>
      </c>
      <c r="Y445">
        <v>12</v>
      </c>
      <c r="Z445">
        <v>12</v>
      </c>
      <c r="AA445">
        <v>20</v>
      </c>
      <c r="AB445">
        <v>2000</v>
      </c>
      <c r="AC445">
        <v>1512</v>
      </c>
      <c r="AD445">
        <v>1512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18</v>
      </c>
      <c r="AM445">
        <v>0</v>
      </c>
      <c r="AN445">
        <v>24</v>
      </c>
      <c r="AO445">
        <v>0</v>
      </c>
      <c r="AP445">
        <v>8</v>
      </c>
      <c r="AQ445">
        <v>0</v>
      </c>
      <c r="AR445">
        <v>0</v>
      </c>
      <c r="AS445" t="s">
        <v>59</v>
      </c>
      <c r="AT445">
        <v>1</v>
      </c>
      <c r="AU445" t="s">
        <v>60</v>
      </c>
      <c r="AV445" t="s">
        <v>65</v>
      </c>
      <c r="AW445">
        <v>0</v>
      </c>
      <c r="AX445">
        <v>4</v>
      </c>
      <c r="AY445">
        <v>0</v>
      </c>
      <c r="AZ445">
        <v>0</v>
      </c>
      <c r="BA445">
        <v>100</v>
      </c>
      <c r="BB445">
        <v>100</v>
      </c>
      <c r="BC445">
        <v>100</v>
      </c>
      <c r="BD445">
        <v>100</v>
      </c>
      <c r="BE445">
        <v>1</v>
      </c>
      <c r="BF445">
        <v>15000</v>
      </c>
      <c r="BG445">
        <v>1000</v>
      </c>
      <c r="BH445" s="8">
        <f>Granger_Inventory[[#This Row],[land_extract]]*Lookups!$B$3</f>
        <v>23128.971718879347</v>
      </c>
      <c r="BI445" s="8">
        <f>IF(Granger_Inventory[[#This Row],[bldg_style]]="",0,Lookups!$B$2)</f>
        <v>29703.559000000001</v>
      </c>
      <c r="BJ445" s="8">
        <f>_xlfn.IFNA(VLOOKUP(Granger_Inventory[[#This Row],[quality]],Lookups!$H$2:$J$14,3,FALSE),0)</f>
        <v>34195</v>
      </c>
      <c r="BK445" s="8">
        <f>_xlfn.IFNA(VLOOKUP(Granger_Inventory[[#This Row],[condition]],Lookups!$H$17:$J$24,3,FALSE),0)</f>
        <v>80695</v>
      </c>
      <c r="BL445" s="8">
        <f>Granger_Inventory[[#This Row],[Age]]*Lookups!$B$16</f>
        <v>-2487.9731999999999</v>
      </c>
      <c r="BM445" s="8">
        <f>Granger_Inventory[[#This Row],[living_area]]*Lookups!$B$17</f>
        <v>101716.638408</v>
      </c>
      <c r="BN445" s="8">
        <f>(Granger_Inventory[[#This Row],[att_gar]]+Granger_Inventory[[#This Row],[blt_gar]])*Lookups!$B$18</f>
        <v>0</v>
      </c>
      <c r="BO445" s="8">
        <f>Granger_Inventory[[#This Row],[Patio]]*Lookups!$B$19</f>
        <v>0</v>
      </c>
      <c r="BP445" s="8">
        <f>SUM(Granger_Inventory[[#This Row],[Intercept]:[Patio_Value]])*Granger_Inventory[[#This Row],[res_pct]]</f>
        <v>243822.224208</v>
      </c>
      <c r="BQ445" s="8">
        <f>Granger_Inventory[[#This Row],[land_value]]</f>
        <v>23128.971718879347</v>
      </c>
      <c r="BR445" s="4">
        <f>_xlfn.IFNA(VLOOKUP(Granger_Inventory[[#This Row],[quality]],Lookups!$A$25:$C$35,3,FALSE),1)</f>
        <v>0.98258795897788032</v>
      </c>
      <c r="BS445" s="4">
        <f>_xlfn.IFNA(VLOOKUP(Granger_Inventory[[#This Row],[condition]],Lookups!$A$38:$C$45,3,FALSE),1)</f>
        <v>0.99484195314749324</v>
      </c>
      <c r="BT445" s="4">
        <f>IF(Granger_Inventory[[#This Row],[decade]]="",1,_xlfn.IFNA(VLOOKUP(Granger_Inventory[[#This Row],[decade]],Lookups!$G$28:$I$42,3,FALSE),1))</f>
        <v>1.0159161060824455</v>
      </c>
      <c r="BU445" s="4">
        <f>_xlfn.IFNA(VLOOKUP(Granger_Inventory[[#This Row],[living_area_range]],Lookups!$A$48:$C$57,3,FALSE),1)</f>
        <v>0.97860968051050168</v>
      </c>
      <c r="BV445" s="4">
        <f>AVERAGE(Granger_Inventory[[#This Row],[qual_adj]:[living_range_adj]])</f>
        <v>0.99298892467958022</v>
      </c>
      <c r="BW445" s="8">
        <f>(Granger_Inventory[[#This Row],[sum_land]]-IF(Granger_Inventory[[#This Row],[no_utilities]]=1,12000,0))/IF(Granger_Inventory[[#This Row],[unbuildable]]=1,2,1)</f>
        <v>23128.971718879347</v>
      </c>
      <c r="BX445" s="8">
        <f>Granger_Inventory[[#This Row],[pre_res]]*Granger_Inventory[[#This Row],[overall_adj]]</f>
        <v>242112.76822928543</v>
      </c>
      <c r="BY445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45">
        <f>ROUND(Granger_Inventory[[#This Row],[detatched_value]]*Lookups!$I$45,-2)</f>
        <v>0</v>
      </c>
      <c r="CA445">
        <f>IF(ROUND(Granger_Inventory[[#This Row],[adj_res]]*Lookups!$I$45,-2)&lt;Granger_Inventory[[#This Row],[min_res]],Granger_Inventory[[#This Row],[min_res]],ROUND(Granger_Inventory[[#This Row],[adj_res]]*Lookups!$I$45,-2))</f>
        <v>230000</v>
      </c>
      <c r="CB445">
        <f>Granger_Inventory[[#This Row],[final_det]]+Granger_Inventory[[#This Row],[final_res]]</f>
        <v>230000</v>
      </c>
      <c r="CC445">
        <f>Granger_Inventory[[#This Row],[final_land]]+Granger_Inventory[[#This Row],[final_imp]]+Granger_Inventory[[#This Row],[crop_value]]</f>
        <v>252000</v>
      </c>
      <c r="CE445" t="str">
        <f t="shared" si="6"/>
        <v>update valuation set market_land =22000, market_bldg=230000, market_total =252000, market_mdno =402, market_date ='9/10/2023' where link_id = (select link_id from parcel where parcel_year = '2024' and parcel_id = '21102114528');</v>
      </c>
    </row>
    <row r="446" spans="1:83" x14ac:dyDescent="0.25">
      <c r="A446">
        <v>21102114529</v>
      </c>
      <c r="B446">
        <v>0.17</v>
      </c>
      <c r="C446">
        <v>7500</v>
      </c>
      <c r="D446" t="s">
        <v>137</v>
      </c>
      <c r="E446" t="s">
        <v>54</v>
      </c>
      <c r="F446" t="s">
        <v>54</v>
      </c>
      <c r="G446">
        <v>3</v>
      </c>
      <c r="H446" t="s">
        <v>55</v>
      </c>
      <c r="I446">
        <v>182300</v>
      </c>
      <c r="J446">
        <v>25300</v>
      </c>
      <c r="K446">
        <v>0.17</v>
      </c>
      <c r="L44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46">
        <v>0</v>
      </c>
      <c r="N446">
        <v>0</v>
      </c>
      <c r="O446">
        <v>0</v>
      </c>
      <c r="P446">
        <v>47108.068500000001</v>
      </c>
      <c r="Q446">
        <v>122298</v>
      </c>
      <c r="R446">
        <f>(Granger_Inventory[[#This Row],[ln_acres]]*Granger_Inventory[[#This Row],[coeff]])+Granger_Inventory[[#This Row],[const]]</f>
        <v>38824.535711229546</v>
      </c>
      <c r="S446" t="s">
        <v>56</v>
      </c>
      <c r="T446">
        <v>1</v>
      </c>
      <c r="U446" t="s">
        <v>71</v>
      </c>
      <c r="V446" t="s">
        <v>77</v>
      </c>
      <c r="W446">
        <v>0</v>
      </c>
      <c r="X446">
        <v>0</v>
      </c>
      <c r="Y446">
        <v>38</v>
      </c>
      <c r="Z446">
        <v>38</v>
      </c>
      <c r="AA446">
        <v>40</v>
      </c>
      <c r="AB446">
        <v>2000</v>
      </c>
      <c r="AC446">
        <v>1612</v>
      </c>
      <c r="AD446">
        <v>1362</v>
      </c>
      <c r="AE446">
        <v>0</v>
      </c>
      <c r="AF446">
        <v>0</v>
      </c>
      <c r="AG446">
        <v>250</v>
      </c>
      <c r="AH446">
        <v>302</v>
      </c>
      <c r="AI446">
        <v>720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5</v>
      </c>
      <c r="AQ446">
        <v>0</v>
      </c>
      <c r="AR446">
        <v>0</v>
      </c>
      <c r="AS446" t="s">
        <v>59</v>
      </c>
      <c r="AT446">
        <v>1</v>
      </c>
      <c r="AU446" t="s">
        <v>60</v>
      </c>
      <c r="AV446" t="s">
        <v>61</v>
      </c>
      <c r="AW446">
        <v>1</v>
      </c>
      <c r="AX446">
        <v>3</v>
      </c>
      <c r="AY446">
        <v>0</v>
      </c>
      <c r="AZ446">
        <v>0</v>
      </c>
      <c r="BA446">
        <v>100</v>
      </c>
      <c r="BB446">
        <v>100</v>
      </c>
      <c r="BC446">
        <v>100</v>
      </c>
      <c r="BD446">
        <v>100</v>
      </c>
      <c r="BE446">
        <v>1</v>
      </c>
      <c r="BF446">
        <v>15000</v>
      </c>
      <c r="BG446">
        <v>1000</v>
      </c>
      <c r="BH446" s="8">
        <f>Granger_Inventory[[#This Row],[land_extract]]*Lookups!$B$3</f>
        <v>23128.971718879347</v>
      </c>
      <c r="BI446" s="8">
        <f>IF(Granger_Inventory[[#This Row],[bldg_style]]="",0,Lookups!$B$2)</f>
        <v>29703.559000000001</v>
      </c>
      <c r="BJ446" s="8">
        <f>_xlfn.IFNA(VLOOKUP(Granger_Inventory[[#This Row],[quality]],Lookups!$H$2:$J$14,3,FALSE),0)</f>
        <v>34195</v>
      </c>
      <c r="BK446" s="8">
        <f>_xlfn.IFNA(VLOOKUP(Granger_Inventory[[#This Row],[condition]],Lookups!$H$17:$J$24,3,FALSE),0)</f>
        <v>33736</v>
      </c>
      <c r="BL446" s="8">
        <f>Granger_Inventory[[#This Row],[Age]]*Lookups!$B$16</f>
        <v>-7878.5817999999999</v>
      </c>
      <c r="BM446" s="8">
        <f>Granger_Inventory[[#This Row],[living_area]]*Lookups!$B$17</f>
        <v>108443.92930799999</v>
      </c>
      <c r="BN446" s="8">
        <f>(Granger_Inventory[[#This Row],[att_gar]]+Granger_Inventory[[#This Row],[blt_gar]])*Lookups!$B$18</f>
        <v>34882.261920000004</v>
      </c>
      <c r="BO446" s="8">
        <f>Granger_Inventory[[#This Row],[Patio]]*Lookups!$B$19</f>
        <v>0</v>
      </c>
      <c r="BP446" s="8">
        <f>SUM(Granger_Inventory[[#This Row],[Intercept]:[Patio_Value]])*Granger_Inventory[[#This Row],[res_pct]]</f>
        <v>233082.168428</v>
      </c>
      <c r="BQ446" s="8">
        <f>Granger_Inventory[[#This Row],[land_value]]</f>
        <v>23128.971718879347</v>
      </c>
      <c r="BR446" s="4">
        <f>_xlfn.IFNA(VLOOKUP(Granger_Inventory[[#This Row],[quality]],Lookups!$A$25:$C$35,3,FALSE),1)</f>
        <v>0.98258795897788032</v>
      </c>
      <c r="BS446" s="4">
        <f>_xlfn.IFNA(VLOOKUP(Granger_Inventory[[#This Row],[condition]],Lookups!$A$38:$C$45,3,FALSE),1)</f>
        <v>0.92294678898076177</v>
      </c>
      <c r="BT446" s="4">
        <f>IF(Granger_Inventory[[#This Row],[decade]]="",1,_xlfn.IFNA(VLOOKUP(Granger_Inventory[[#This Row],[decade]],Lookups!$G$28:$I$42,3,FALSE),1))</f>
        <v>0.98127609555109363</v>
      </c>
      <c r="BU446" s="4">
        <f>_xlfn.IFNA(VLOOKUP(Granger_Inventory[[#This Row],[living_area_range]],Lookups!$A$48:$C$57,3,FALSE),1)</f>
        <v>0.97860968051050168</v>
      </c>
      <c r="BV446" s="4">
        <f>AVERAGE(Granger_Inventory[[#This Row],[qual_adj]:[living_range_adj]])</f>
        <v>0.96635513100505932</v>
      </c>
      <c r="BW446" s="8">
        <f>(Granger_Inventory[[#This Row],[sum_land]]-IF(Granger_Inventory[[#This Row],[no_utilities]]=1,12000,0))/IF(Granger_Inventory[[#This Row],[unbuildable]]=1,2,1)</f>
        <v>23128.971718879347</v>
      </c>
      <c r="BX446" s="8">
        <f>Granger_Inventory[[#This Row],[pre_res]]*Granger_Inventory[[#This Row],[overall_adj]]</f>
        <v>225240.14940618325</v>
      </c>
      <c r="BY446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46">
        <f>ROUND(Granger_Inventory[[#This Row],[detatched_value]]*Lookups!$I$45,-2)</f>
        <v>0</v>
      </c>
      <c r="CA446">
        <f>IF(ROUND(Granger_Inventory[[#This Row],[adj_res]]*Lookups!$I$45,-2)&lt;Granger_Inventory[[#This Row],[min_res]],Granger_Inventory[[#This Row],[min_res]],ROUND(Granger_Inventory[[#This Row],[adj_res]]*Lookups!$I$45,-2))</f>
        <v>214000</v>
      </c>
      <c r="CB446">
        <f>Granger_Inventory[[#This Row],[final_det]]+Granger_Inventory[[#This Row],[final_res]]</f>
        <v>214000</v>
      </c>
      <c r="CC446">
        <f>Granger_Inventory[[#This Row],[final_land]]+Granger_Inventory[[#This Row],[final_imp]]+Granger_Inventory[[#This Row],[crop_value]]</f>
        <v>236000</v>
      </c>
      <c r="CE446" t="str">
        <f t="shared" si="6"/>
        <v>update valuation set market_land =22000, market_bldg=214000, market_total =236000, market_mdno =402, market_date ='9/10/2023' where link_id = (select link_id from parcel where parcel_year = '2024' and parcel_id = '21102114529');</v>
      </c>
    </row>
    <row r="447" spans="1:83" x14ac:dyDescent="0.25">
      <c r="A447">
        <v>21102114532</v>
      </c>
      <c r="B447">
        <v>0.16</v>
      </c>
      <c r="C447">
        <v>7001</v>
      </c>
      <c r="D447" t="s">
        <v>137</v>
      </c>
      <c r="E447" t="s">
        <v>54</v>
      </c>
      <c r="F447" t="s">
        <v>54</v>
      </c>
      <c r="G447">
        <v>3</v>
      </c>
      <c r="H447" t="s">
        <v>55</v>
      </c>
      <c r="I447">
        <v>52500</v>
      </c>
      <c r="J447">
        <v>25000</v>
      </c>
      <c r="K447">
        <v>0.16</v>
      </c>
      <c r="L447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47">
        <v>0</v>
      </c>
      <c r="N447">
        <v>0</v>
      </c>
      <c r="O447">
        <v>0</v>
      </c>
      <c r="P447">
        <v>47108.068500000001</v>
      </c>
      <c r="Q447">
        <v>122298</v>
      </c>
      <c r="R447">
        <f>(Granger_Inventory[[#This Row],[ln_acres]]*Granger_Inventory[[#This Row],[coeff]])+Granger_Inventory[[#This Row],[const]]</f>
        <v>35968.626873914327</v>
      </c>
      <c r="S447" t="s">
        <v>69</v>
      </c>
      <c r="T447">
        <v>1</v>
      </c>
      <c r="U447" t="s">
        <v>106</v>
      </c>
      <c r="V447" t="s">
        <v>77</v>
      </c>
      <c r="W447">
        <v>0</v>
      </c>
      <c r="X447">
        <v>0</v>
      </c>
      <c r="Y447">
        <v>51</v>
      </c>
      <c r="Z447">
        <v>83</v>
      </c>
      <c r="AA447">
        <v>90</v>
      </c>
      <c r="AB447">
        <v>1000</v>
      </c>
      <c r="AC447">
        <v>960</v>
      </c>
      <c r="AD447">
        <v>960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144</v>
      </c>
      <c r="AO447">
        <v>0</v>
      </c>
      <c r="AP447">
        <v>5</v>
      </c>
      <c r="AQ447">
        <v>0</v>
      </c>
      <c r="AR447">
        <v>0</v>
      </c>
      <c r="AS447" t="s">
        <v>59</v>
      </c>
      <c r="AT447">
        <v>1</v>
      </c>
      <c r="AU447" t="s">
        <v>76</v>
      </c>
      <c r="AV447" t="s">
        <v>65</v>
      </c>
      <c r="AW447">
        <v>0</v>
      </c>
      <c r="AX447">
        <v>2</v>
      </c>
      <c r="AY447">
        <v>0</v>
      </c>
      <c r="AZ447">
        <v>0</v>
      </c>
      <c r="BA447">
        <v>100</v>
      </c>
      <c r="BB447">
        <v>100</v>
      </c>
      <c r="BC447">
        <v>100</v>
      </c>
      <c r="BD447">
        <v>100</v>
      </c>
      <c r="BE447">
        <v>1</v>
      </c>
      <c r="BF447">
        <v>15000</v>
      </c>
      <c r="BG447">
        <v>1000</v>
      </c>
      <c r="BH447" s="8">
        <f>Granger_Inventory[[#This Row],[land_extract]]*Lookups!$B$3</f>
        <v>21427.618862498482</v>
      </c>
      <c r="BI447" s="8">
        <f>IF(Granger_Inventory[[#This Row],[bldg_style]]="",0,Lookups!$B$2)</f>
        <v>29703.559000000001</v>
      </c>
      <c r="BJ447" s="8">
        <f>_xlfn.IFNA(VLOOKUP(Granger_Inventory[[#This Row],[quality]],Lookups!$H$2:$J$14,3,FALSE),0)</f>
        <v>17985.540667792327</v>
      </c>
      <c r="BK447" s="8">
        <f>_xlfn.IFNA(VLOOKUP(Granger_Inventory[[#This Row],[condition]],Lookups!$H$17:$J$24,3,FALSE),0)</f>
        <v>33736</v>
      </c>
      <c r="BL447" s="8">
        <f>Granger_Inventory[[#This Row],[Age]]*Lookups!$B$16</f>
        <v>-17208.481299999999</v>
      </c>
      <c r="BM447" s="8">
        <f>Granger_Inventory[[#This Row],[living_area]]*Lookups!$B$17</f>
        <v>64581.992639999997</v>
      </c>
      <c r="BN447" s="8">
        <f>(Granger_Inventory[[#This Row],[att_gar]]+Granger_Inventory[[#This Row],[blt_gar]])*Lookups!$B$18</f>
        <v>0</v>
      </c>
      <c r="BO447" s="8">
        <f>Granger_Inventory[[#This Row],[Patio]]*Lookups!$B$19</f>
        <v>0</v>
      </c>
      <c r="BP447" s="8">
        <f>SUM(Granger_Inventory[[#This Row],[Intercept]:[Patio_Value]])*Granger_Inventory[[#This Row],[res_pct]]</f>
        <v>128798.61100779232</v>
      </c>
      <c r="BQ447" s="8">
        <f>Granger_Inventory[[#This Row],[land_value]]</f>
        <v>21427.618862498482</v>
      </c>
      <c r="BR447" s="4">
        <f>_xlfn.IFNA(VLOOKUP(Granger_Inventory[[#This Row],[quality]],Lookups!$A$25:$C$35,3,FALSE),1)</f>
        <v>0.77695375541795109</v>
      </c>
      <c r="BS447" s="4">
        <f>_xlfn.IFNA(VLOOKUP(Granger_Inventory[[#This Row],[condition]],Lookups!$A$38:$C$45,3,FALSE),1)</f>
        <v>0.92294678898076177</v>
      </c>
      <c r="BT447" s="4">
        <f>IF(Granger_Inventory[[#This Row],[decade]]="",1,_xlfn.IFNA(VLOOKUP(Granger_Inventory[[#This Row],[decade]],Lookups!$G$28:$I$42,3,FALSE),1))</f>
        <v>0.95234610137492615</v>
      </c>
      <c r="BU447" s="4">
        <f>_xlfn.IFNA(VLOOKUP(Granger_Inventory[[#This Row],[living_area_range]],Lookups!$A$48:$C$57,3,FALSE),1)</f>
        <v>0.81272404900450645</v>
      </c>
      <c r="BV447" s="4">
        <f>AVERAGE(Granger_Inventory[[#This Row],[qual_adj]:[living_range_adj]])</f>
        <v>0.86624267369453634</v>
      </c>
      <c r="BW447" s="8">
        <f>(Granger_Inventory[[#This Row],[sum_land]]-IF(Granger_Inventory[[#This Row],[no_utilities]]=1,12000,0))/IF(Granger_Inventory[[#This Row],[unbuildable]]=1,2,1)</f>
        <v>21427.618862498482</v>
      </c>
      <c r="BX447" s="8">
        <f>Granger_Inventory[[#This Row],[pre_res]]*Granger_Inventory[[#This Row],[overall_adj]]</f>
        <v>111570.85316753256</v>
      </c>
      <c r="BY447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47">
        <f>ROUND(Granger_Inventory[[#This Row],[detatched_value]]*Lookups!$I$45,-2)</f>
        <v>0</v>
      </c>
      <c r="CA447">
        <f>IF(ROUND(Granger_Inventory[[#This Row],[adj_res]]*Lookups!$I$45,-2)&lt;Granger_Inventory[[#This Row],[min_res]],Granger_Inventory[[#This Row],[min_res]],ROUND(Granger_Inventory[[#This Row],[adj_res]]*Lookups!$I$45,-2))</f>
        <v>106000</v>
      </c>
      <c r="CB447">
        <f>Granger_Inventory[[#This Row],[final_det]]+Granger_Inventory[[#This Row],[final_res]]</f>
        <v>106000</v>
      </c>
      <c r="CC447">
        <f>Granger_Inventory[[#This Row],[final_land]]+Granger_Inventory[[#This Row],[final_imp]]+Granger_Inventory[[#This Row],[crop_value]]</f>
        <v>126400</v>
      </c>
      <c r="CE447" t="str">
        <f t="shared" si="6"/>
        <v>update valuation set market_land =20400, market_bldg=106000, market_total =126400, market_mdno =402, market_date ='9/10/2023' where link_id = (select link_id from parcel where parcel_year = '2024' and parcel_id = '21102114532');</v>
      </c>
    </row>
    <row r="448" spans="1:83" x14ac:dyDescent="0.25">
      <c r="A448">
        <v>21102114533</v>
      </c>
      <c r="B448">
        <v>0.16</v>
      </c>
      <c r="C448">
        <v>7000</v>
      </c>
      <c r="D448" t="s">
        <v>137</v>
      </c>
      <c r="E448" t="s">
        <v>54</v>
      </c>
      <c r="F448" t="s">
        <v>54</v>
      </c>
      <c r="G448">
        <v>3</v>
      </c>
      <c r="H448" t="s">
        <v>55</v>
      </c>
      <c r="I448">
        <v>46200</v>
      </c>
      <c r="J448">
        <v>25000</v>
      </c>
      <c r="K448">
        <v>0.16</v>
      </c>
      <c r="L44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48">
        <v>0</v>
      </c>
      <c r="N448">
        <v>0</v>
      </c>
      <c r="O448">
        <v>0</v>
      </c>
      <c r="P448">
        <v>47108.068500000001</v>
      </c>
      <c r="Q448">
        <v>122298</v>
      </c>
      <c r="R448">
        <f>(Granger_Inventory[[#This Row],[ln_acres]]*Granger_Inventory[[#This Row],[coeff]])+Granger_Inventory[[#This Row],[const]]</f>
        <v>35968.626873914327</v>
      </c>
      <c r="S448" t="s">
        <v>69</v>
      </c>
      <c r="T448">
        <v>1</v>
      </c>
      <c r="U448" t="s">
        <v>78</v>
      </c>
      <c r="V448" t="s">
        <v>79</v>
      </c>
      <c r="W448">
        <v>0</v>
      </c>
      <c r="X448">
        <v>0</v>
      </c>
      <c r="Y448">
        <v>49</v>
      </c>
      <c r="Z448">
        <v>68</v>
      </c>
      <c r="AA448">
        <v>70</v>
      </c>
      <c r="AB448">
        <v>1000</v>
      </c>
      <c r="AC448">
        <v>936</v>
      </c>
      <c r="AD448">
        <v>936</v>
      </c>
      <c r="AE448">
        <v>0</v>
      </c>
      <c r="AF448">
        <v>0</v>
      </c>
      <c r="AG448">
        <v>0</v>
      </c>
      <c r="AH448">
        <v>598</v>
      </c>
      <c r="AI448">
        <v>0</v>
      </c>
      <c r="AJ448">
        <v>0</v>
      </c>
      <c r="AK448">
        <v>0</v>
      </c>
      <c r="AL448">
        <v>0</v>
      </c>
      <c r="AM448">
        <v>50</v>
      </c>
      <c r="AN448">
        <v>35</v>
      </c>
      <c r="AO448">
        <v>50</v>
      </c>
      <c r="AP448">
        <v>5</v>
      </c>
      <c r="AQ448">
        <v>0</v>
      </c>
      <c r="AR448">
        <v>0</v>
      </c>
      <c r="AS448" t="s">
        <v>59</v>
      </c>
      <c r="AT448">
        <v>1</v>
      </c>
      <c r="AU448" t="s">
        <v>60</v>
      </c>
      <c r="AV448" t="s">
        <v>61</v>
      </c>
      <c r="AW448">
        <v>1</v>
      </c>
      <c r="AX448">
        <v>2</v>
      </c>
      <c r="AY448">
        <v>0</v>
      </c>
      <c r="AZ448">
        <v>0</v>
      </c>
      <c r="BA448">
        <v>100</v>
      </c>
      <c r="BB448">
        <v>100</v>
      </c>
      <c r="BC448">
        <v>100</v>
      </c>
      <c r="BD448">
        <v>100</v>
      </c>
      <c r="BE448">
        <v>1</v>
      </c>
      <c r="BF448">
        <v>15000</v>
      </c>
      <c r="BG448">
        <v>1000</v>
      </c>
      <c r="BH448" s="8">
        <f>Granger_Inventory[[#This Row],[land_extract]]*Lookups!$B$3</f>
        <v>21427.618862498482</v>
      </c>
      <c r="BI448" s="8">
        <f>IF(Granger_Inventory[[#This Row],[bldg_style]]="",0,Lookups!$B$2)</f>
        <v>29703.559000000001</v>
      </c>
      <c r="BJ448" s="8">
        <f>_xlfn.IFNA(VLOOKUP(Granger_Inventory[[#This Row],[quality]],Lookups!$H$2:$J$14,3,FALSE),0)</f>
        <v>23737.786340274597</v>
      </c>
      <c r="BK448" s="8">
        <f>_xlfn.IFNA(VLOOKUP(Granger_Inventory[[#This Row],[condition]],Lookups!$H$17:$J$24,3,FALSE),0)</f>
        <v>86727</v>
      </c>
      <c r="BL448" s="8">
        <f>Granger_Inventory[[#This Row],[Age]]*Lookups!$B$16</f>
        <v>-14098.514799999999</v>
      </c>
      <c r="BM448" s="8">
        <f>Granger_Inventory[[#This Row],[living_area]]*Lookups!$B$17</f>
        <v>62967.442823999998</v>
      </c>
      <c r="BN448" s="8">
        <f>(Granger_Inventory[[#This Row],[att_gar]]+Granger_Inventory[[#This Row],[blt_gar]])*Lookups!$B$18</f>
        <v>0</v>
      </c>
      <c r="BO448" s="8">
        <f>Granger_Inventory[[#This Row],[Patio]]*Lookups!$B$19</f>
        <v>2715.7547999999997</v>
      </c>
      <c r="BP448" s="8">
        <f>SUM(Granger_Inventory[[#This Row],[Intercept]:[Patio_Value]])*Granger_Inventory[[#This Row],[res_pct]]</f>
        <v>191753.02816427458</v>
      </c>
      <c r="BQ448" s="8">
        <f>Granger_Inventory[[#This Row],[land_value]]</f>
        <v>21427.618862498482</v>
      </c>
      <c r="BR448" s="4">
        <f>_xlfn.IFNA(VLOOKUP(Granger_Inventory[[#This Row],[quality]],Lookups!$A$25:$C$35,3,FALSE),1)</f>
        <v>0.77695375541795109</v>
      </c>
      <c r="BS448" s="4">
        <f>_xlfn.IFNA(VLOOKUP(Granger_Inventory[[#This Row],[condition]],Lookups!$A$38:$C$45,3,FALSE),1)</f>
        <v>0.85322907131620684</v>
      </c>
      <c r="BT448" s="4">
        <f>IF(Granger_Inventory[[#This Row],[decade]]="",1,_xlfn.IFNA(VLOOKUP(Granger_Inventory[[#This Row],[decade]],Lookups!$G$28:$I$42,3,FALSE),1))</f>
        <v>1.0270382440255921</v>
      </c>
      <c r="BU448" s="4">
        <f>_xlfn.IFNA(VLOOKUP(Granger_Inventory[[#This Row],[living_area_range]],Lookups!$A$48:$C$57,3,FALSE),1)</f>
        <v>0.81272404900450645</v>
      </c>
      <c r="BV448" s="4">
        <f>AVERAGE(Granger_Inventory[[#This Row],[qual_adj]:[living_range_adj]])</f>
        <v>0.86748627994106409</v>
      </c>
      <c r="BW448" s="8">
        <f>(Granger_Inventory[[#This Row],[sum_land]]-IF(Granger_Inventory[[#This Row],[no_utilities]]=1,12000,0))/IF(Granger_Inventory[[#This Row],[unbuildable]]=1,2,1)</f>
        <v>21427.618862498482</v>
      </c>
      <c r="BX448" s="8">
        <f>Granger_Inventory[[#This Row],[pre_res]]*Granger_Inventory[[#This Row],[overall_adj]]</f>
        <v>166343.12106966064</v>
      </c>
      <c r="BY44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48">
        <f>ROUND(Granger_Inventory[[#This Row],[detatched_value]]*Lookups!$I$45,-2)</f>
        <v>0</v>
      </c>
      <c r="CA448">
        <f>IF(ROUND(Granger_Inventory[[#This Row],[adj_res]]*Lookups!$I$45,-2)&lt;Granger_Inventory[[#This Row],[min_res]],Granger_Inventory[[#This Row],[min_res]],ROUND(Granger_Inventory[[#This Row],[adj_res]]*Lookups!$I$45,-2))</f>
        <v>158000</v>
      </c>
      <c r="CB448">
        <f>Granger_Inventory[[#This Row],[final_det]]+Granger_Inventory[[#This Row],[final_res]]</f>
        <v>158000</v>
      </c>
      <c r="CC448">
        <f>Granger_Inventory[[#This Row],[final_land]]+Granger_Inventory[[#This Row],[final_imp]]+Granger_Inventory[[#This Row],[crop_value]]</f>
        <v>178400</v>
      </c>
      <c r="CE448" t="str">
        <f t="shared" si="6"/>
        <v>update valuation set market_land =20400, market_bldg=158000, market_total =178400, market_mdno =402, market_date ='9/10/2023' where link_id = (select link_id from parcel where parcel_year = '2024' and parcel_id = '21102114533');</v>
      </c>
    </row>
    <row r="449" spans="1:83" x14ac:dyDescent="0.25">
      <c r="A449">
        <v>21102114534</v>
      </c>
      <c r="B449">
        <v>0.16</v>
      </c>
      <c r="C449">
        <v>7000</v>
      </c>
      <c r="D449" t="s">
        <v>137</v>
      </c>
      <c r="E449" t="s">
        <v>54</v>
      </c>
      <c r="F449" t="s">
        <v>54</v>
      </c>
      <c r="G449">
        <v>3</v>
      </c>
      <c r="H449" t="s">
        <v>55</v>
      </c>
      <c r="I449">
        <v>206100</v>
      </c>
      <c r="J449">
        <v>25000</v>
      </c>
      <c r="K449">
        <v>0.16</v>
      </c>
      <c r="L449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449">
        <v>0</v>
      </c>
      <c r="N449">
        <v>0</v>
      </c>
      <c r="O449">
        <v>0</v>
      </c>
      <c r="P449">
        <v>47108.068500000001</v>
      </c>
      <c r="Q449">
        <v>122298</v>
      </c>
      <c r="R449">
        <f>(Granger_Inventory[[#This Row],[ln_acres]]*Granger_Inventory[[#This Row],[coeff]])+Granger_Inventory[[#This Row],[const]]</f>
        <v>35968.626873914327</v>
      </c>
      <c r="S449" t="s">
        <v>69</v>
      </c>
      <c r="T449">
        <v>1</v>
      </c>
      <c r="U449" t="s">
        <v>64</v>
      </c>
      <c r="V449" t="s">
        <v>58</v>
      </c>
      <c r="W449">
        <v>0</v>
      </c>
      <c r="X449">
        <v>0</v>
      </c>
      <c r="Y449">
        <v>5</v>
      </c>
      <c r="Z449">
        <v>5</v>
      </c>
      <c r="AA449">
        <v>10</v>
      </c>
      <c r="AB449">
        <v>1500</v>
      </c>
      <c r="AC449">
        <v>1260</v>
      </c>
      <c r="AD449">
        <v>1260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16</v>
      </c>
      <c r="AO449">
        <v>0</v>
      </c>
      <c r="AP449">
        <v>8</v>
      </c>
      <c r="AQ449">
        <v>0</v>
      </c>
      <c r="AR449">
        <v>0</v>
      </c>
      <c r="AS449" t="s">
        <v>59</v>
      </c>
      <c r="AT449">
        <v>1</v>
      </c>
      <c r="AU449" t="s">
        <v>63</v>
      </c>
      <c r="AV449" t="s">
        <v>65</v>
      </c>
      <c r="AW449">
        <v>1</v>
      </c>
      <c r="AX449">
        <v>3</v>
      </c>
      <c r="AY449">
        <v>0</v>
      </c>
      <c r="AZ449">
        <v>0</v>
      </c>
      <c r="BA449">
        <v>100</v>
      </c>
      <c r="BB449">
        <v>100</v>
      </c>
      <c r="BC449">
        <v>100</v>
      </c>
      <c r="BD449">
        <v>100</v>
      </c>
      <c r="BE449">
        <v>1</v>
      </c>
      <c r="BF449">
        <v>15000</v>
      </c>
      <c r="BG449">
        <v>1000</v>
      </c>
      <c r="BH449" s="8">
        <f>Granger_Inventory[[#This Row],[land_extract]]*Lookups!$B$3</f>
        <v>21427.618862498482</v>
      </c>
      <c r="BI449" s="8">
        <f>IF(Granger_Inventory[[#This Row],[bldg_style]]="",0,Lookups!$B$2)</f>
        <v>29703.559000000001</v>
      </c>
      <c r="BJ449" s="8">
        <f>_xlfn.IFNA(VLOOKUP(Granger_Inventory[[#This Row],[quality]],Lookups!$H$2:$J$14,3,FALSE),0)</f>
        <v>36568</v>
      </c>
      <c r="BK449" s="8">
        <f>_xlfn.IFNA(VLOOKUP(Granger_Inventory[[#This Row],[condition]],Lookups!$H$17:$J$24,3,FALSE),0)</f>
        <v>101774</v>
      </c>
      <c r="BL449" s="8">
        <f>Granger_Inventory[[#This Row],[Age]]*Lookups!$B$16</f>
        <v>-1036.6554999999998</v>
      </c>
      <c r="BM449" s="8">
        <f>Granger_Inventory[[#This Row],[living_area]]*Lookups!$B$17</f>
        <v>84763.865340000004</v>
      </c>
      <c r="BN449" s="8">
        <f>(Granger_Inventory[[#This Row],[att_gar]]+Granger_Inventory[[#This Row],[blt_gar]])*Lookups!$B$18</f>
        <v>0</v>
      </c>
      <c r="BO449" s="8">
        <f>Granger_Inventory[[#This Row],[Patio]]*Lookups!$B$19</f>
        <v>0</v>
      </c>
      <c r="BP449" s="8">
        <f>SUM(Granger_Inventory[[#This Row],[Intercept]:[Patio_Value]])*Granger_Inventory[[#This Row],[res_pct]]</f>
        <v>251772.76884000003</v>
      </c>
      <c r="BQ449" s="8">
        <f>Granger_Inventory[[#This Row],[land_value]]</f>
        <v>21427.618862498482</v>
      </c>
      <c r="BR449" s="4">
        <f>_xlfn.IFNA(VLOOKUP(Granger_Inventory[[#This Row],[quality]],Lookups!$A$25:$C$35,3,FALSE),1)</f>
        <v>0.99049976351917957</v>
      </c>
      <c r="BS449" s="4">
        <f>_xlfn.IFNA(VLOOKUP(Granger_Inventory[[#This Row],[condition]],Lookups!$A$38:$C$45,3,FALSE),1)</f>
        <v>0.99135053432734199</v>
      </c>
      <c r="BT449" s="4">
        <f>IF(Granger_Inventory[[#This Row],[decade]]="",1,_xlfn.IFNA(VLOOKUP(Granger_Inventory[[#This Row],[decade]],Lookups!$G$28:$I$42,3,FALSE),1))</f>
        <v>0.95532362136731586</v>
      </c>
      <c r="BU449" s="4">
        <f>_xlfn.IFNA(VLOOKUP(Granger_Inventory[[#This Row],[living_area_range]],Lookups!$A$48:$C$57,3,FALSE),1)</f>
        <v>0.97960506760539345</v>
      </c>
      <c r="BV449" s="4">
        <f>AVERAGE(Granger_Inventory[[#This Row],[qual_adj]:[living_range_adj]])</f>
        <v>0.97919474670480777</v>
      </c>
      <c r="BW449" s="8">
        <f>(Granger_Inventory[[#This Row],[sum_land]]-IF(Granger_Inventory[[#This Row],[no_utilities]]=1,12000,0))/IF(Granger_Inventory[[#This Row],[unbuildable]]=1,2,1)</f>
        <v>21427.618862498482</v>
      </c>
      <c r="BX449" s="8">
        <f>Granger_Inventory[[#This Row],[pre_res]]*Granger_Inventory[[#This Row],[overall_adj]]</f>
        <v>246534.57261145196</v>
      </c>
      <c r="BY449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449">
        <f>ROUND(Granger_Inventory[[#This Row],[detatched_value]]*Lookups!$I$45,-2)</f>
        <v>0</v>
      </c>
      <c r="CA449">
        <f>IF(ROUND(Granger_Inventory[[#This Row],[adj_res]]*Lookups!$I$45,-2)&lt;Granger_Inventory[[#This Row],[min_res]],Granger_Inventory[[#This Row],[min_res]],ROUND(Granger_Inventory[[#This Row],[adj_res]]*Lookups!$I$45,-2))</f>
        <v>234200</v>
      </c>
      <c r="CB449">
        <f>Granger_Inventory[[#This Row],[final_det]]+Granger_Inventory[[#This Row],[final_res]]</f>
        <v>234200</v>
      </c>
      <c r="CC449">
        <f>Granger_Inventory[[#This Row],[final_land]]+Granger_Inventory[[#This Row],[final_imp]]+Granger_Inventory[[#This Row],[crop_value]]</f>
        <v>254600</v>
      </c>
      <c r="CE449" t="str">
        <f t="shared" si="6"/>
        <v>update valuation set market_land =20400, market_bldg=234200, market_total =254600, market_mdno =402, market_date ='9/10/2023' where link_id = (select link_id from parcel where parcel_year = '2024' and parcel_id = '21102114534');</v>
      </c>
    </row>
    <row r="450" spans="1:83" x14ac:dyDescent="0.25">
      <c r="A450">
        <v>21102114540</v>
      </c>
      <c r="B450">
        <v>0.18</v>
      </c>
      <c r="C450">
        <v>7672</v>
      </c>
      <c r="D450" t="s">
        <v>137</v>
      </c>
      <c r="E450" t="s">
        <v>54</v>
      </c>
      <c r="F450" t="s">
        <v>54</v>
      </c>
      <c r="G450">
        <v>3</v>
      </c>
      <c r="H450" t="s">
        <v>55</v>
      </c>
      <c r="I450">
        <v>174600</v>
      </c>
      <c r="J450">
        <v>27400</v>
      </c>
      <c r="K450">
        <v>0.18</v>
      </c>
      <c r="L450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450">
        <v>0</v>
      </c>
      <c r="N450">
        <v>0</v>
      </c>
      <c r="O450">
        <v>0</v>
      </c>
      <c r="P450">
        <v>47108.068500000001</v>
      </c>
      <c r="Q450">
        <v>122298</v>
      </c>
      <c r="R450">
        <f>(Granger_Inventory[[#This Row],[ln_acres]]*Granger_Inventory[[#This Row],[coeff]])+Granger_Inventory[[#This Row],[const]]</f>
        <v>41517.1581857532</v>
      </c>
      <c r="S450" t="s">
        <v>69</v>
      </c>
      <c r="T450">
        <v>1</v>
      </c>
      <c r="U450" t="s">
        <v>71</v>
      </c>
      <c r="V450" t="s">
        <v>72</v>
      </c>
      <c r="W450">
        <v>0</v>
      </c>
      <c r="X450">
        <v>0</v>
      </c>
      <c r="Y450">
        <v>17</v>
      </c>
      <c r="Z450">
        <v>17</v>
      </c>
      <c r="AA450">
        <v>20</v>
      </c>
      <c r="AB450">
        <v>1500</v>
      </c>
      <c r="AC450">
        <v>1074</v>
      </c>
      <c r="AD450">
        <v>1074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70</v>
      </c>
      <c r="AO450">
        <v>0</v>
      </c>
      <c r="AP450">
        <v>5</v>
      </c>
      <c r="AQ450">
        <v>0</v>
      </c>
      <c r="AR450">
        <v>0</v>
      </c>
      <c r="AS450" t="s">
        <v>59</v>
      </c>
      <c r="AT450">
        <v>1</v>
      </c>
      <c r="AU450" t="s">
        <v>63</v>
      </c>
      <c r="AV450" t="s">
        <v>65</v>
      </c>
      <c r="AW450">
        <v>1</v>
      </c>
      <c r="AX450">
        <v>3</v>
      </c>
      <c r="AY450">
        <v>0</v>
      </c>
      <c r="AZ450">
        <v>0</v>
      </c>
      <c r="BA450">
        <v>100</v>
      </c>
      <c r="BB450">
        <v>100</v>
      </c>
      <c r="BC450">
        <v>100</v>
      </c>
      <c r="BD450">
        <v>100</v>
      </c>
      <c r="BE450">
        <v>1</v>
      </c>
      <c r="BF450">
        <v>15000</v>
      </c>
      <c r="BG450">
        <v>1000</v>
      </c>
      <c r="BH450" s="8">
        <f>Granger_Inventory[[#This Row],[land_extract]]*Lookups!$B$3</f>
        <v>24733.049859725303</v>
      </c>
      <c r="BI450" s="8">
        <f>IF(Granger_Inventory[[#This Row],[bldg_style]]="",0,Lookups!$B$2)</f>
        <v>29703.559000000001</v>
      </c>
      <c r="BJ450" s="8">
        <f>_xlfn.IFNA(VLOOKUP(Granger_Inventory[[#This Row],[quality]],Lookups!$H$2:$J$14,3,FALSE),0)</f>
        <v>34195</v>
      </c>
      <c r="BK450" s="8">
        <f>_xlfn.IFNA(VLOOKUP(Granger_Inventory[[#This Row],[condition]],Lookups!$H$17:$J$24,3,FALSE),0)</f>
        <v>94106</v>
      </c>
      <c r="BL450" s="8">
        <f>Granger_Inventory[[#This Row],[Age]]*Lookups!$B$16</f>
        <v>-3524.6286999999998</v>
      </c>
      <c r="BM450" s="8">
        <f>Granger_Inventory[[#This Row],[living_area]]*Lookups!$B$17</f>
        <v>72251.104265999995</v>
      </c>
      <c r="BN450" s="8">
        <f>(Granger_Inventory[[#This Row],[att_gar]]+Granger_Inventory[[#This Row],[blt_gar]])*Lookups!$B$18</f>
        <v>0</v>
      </c>
      <c r="BO450" s="8">
        <f>Granger_Inventory[[#This Row],[Patio]]*Lookups!$B$19</f>
        <v>0</v>
      </c>
      <c r="BP450" s="8">
        <f>SUM(Granger_Inventory[[#This Row],[Intercept]:[Patio_Value]])*Granger_Inventory[[#This Row],[res_pct]]</f>
        <v>226731.03456599999</v>
      </c>
      <c r="BQ450" s="8">
        <f>Granger_Inventory[[#This Row],[land_value]]</f>
        <v>24733.049859725303</v>
      </c>
      <c r="BR450" s="4">
        <f>_xlfn.IFNA(VLOOKUP(Granger_Inventory[[#This Row],[quality]],Lookups!$A$25:$C$35,3,FALSE),1)</f>
        <v>0.98258795897788032</v>
      </c>
      <c r="BS450" s="4">
        <f>_xlfn.IFNA(VLOOKUP(Granger_Inventory[[#This Row],[condition]],Lookups!$A$38:$C$45,3,FALSE),1)</f>
        <v>0.98658583151544277</v>
      </c>
      <c r="BT450" s="4">
        <f>IF(Granger_Inventory[[#This Row],[decade]]="",1,_xlfn.IFNA(VLOOKUP(Granger_Inventory[[#This Row],[decade]],Lookups!$G$28:$I$42,3,FALSE),1))</f>
        <v>1.0159161060824455</v>
      </c>
      <c r="BU450" s="4">
        <f>_xlfn.IFNA(VLOOKUP(Granger_Inventory[[#This Row],[living_area_range]],Lookups!$A$48:$C$57,3,FALSE),1)</f>
        <v>0.97960506760539345</v>
      </c>
      <c r="BV450" s="4">
        <f>AVERAGE(Granger_Inventory[[#This Row],[qual_adj]:[living_range_adj]])</f>
        <v>0.99117374104529055</v>
      </c>
      <c r="BW450" s="8">
        <f>(Granger_Inventory[[#This Row],[sum_land]]-IF(Granger_Inventory[[#This Row],[no_utilities]]=1,12000,0))/IF(Granger_Inventory[[#This Row],[unbuildable]]=1,2,1)</f>
        <v>24733.049859725303</v>
      </c>
      <c r="BX450" s="8">
        <f>Granger_Inventory[[#This Row],[pre_res]]*Granger_Inventory[[#This Row],[overall_adj]]</f>
        <v>224729.84774185129</v>
      </c>
      <c r="BY450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450">
        <f>ROUND(Granger_Inventory[[#This Row],[detatched_value]]*Lookups!$I$45,-2)</f>
        <v>0</v>
      </c>
      <c r="CA450">
        <f>IF(ROUND(Granger_Inventory[[#This Row],[adj_res]]*Lookups!$I$45,-2)&lt;Granger_Inventory[[#This Row],[min_res]],Granger_Inventory[[#This Row],[min_res]],ROUND(Granger_Inventory[[#This Row],[adj_res]]*Lookups!$I$45,-2))</f>
        <v>213500</v>
      </c>
      <c r="CB450">
        <f>Granger_Inventory[[#This Row],[final_det]]+Granger_Inventory[[#This Row],[final_res]]</f>
        <v>213500</v>
      </c>
      <c r="CC450">
        <f>Granger_Inventory[[#This Row],[final_land]]+Granger_Inventory[[#This Row],[final_imp]]+Granger_Inventory[[#This Row],[crop_value]]</f>
        <v>237000</v>
      </c>
      <c r="CE450" t="str">
        <f t="shared" ref="CE450:CE513" si="7">"update valuation set market_land ="&amp;BY450&amp;", market_bldg="&amp;CB450&amp;", market_total ="&amp;CC450&amp;", market_mdno ="&amp;$CE$1&amp;", market_date ='"&amp;TEXT($CF$1,"m/d/yyyy")&amp;"' where link_id = (select link_id from parcel where parcel_year = '2024' and parcel_id = '"&amp;A450&amp;"');"</f>
        <v>update valuation set market_land =23500, market_bldg=213500, market_total =237000, market_mdno =402, market_date ='9/10/2023' where link_id = (select link_id from parcel where parcel_year = '2024' and parcel_id = '21102114540');</v>
      </c>
    </row>
    <row r="451" spans="1:83" x14ac:dyDescent="0.25">
      <c r="A451">
        <v>21102114541</v>
      </c>
      <c r="B451">
        <v>0.18</v>
      </c>
      <c r="C451">
        <v>7688</v>
      </c>
      <c r="D451" t="s">
        <v>137</v>
      </c>
      <c r="E451" t="s">
        <v>54</v>
      </c>
      <c r="F451" t="s">
        <v>54</v>
      </c>
      <c r="G451">
        <v>3</v>
      </c>
      <c r="H451" t="s">
        <v>55</v>
      </c>
      <c r="I451">
        <v>199200</v>
      </c>
      <c r="J451">
        <v>27400</v>
      </c>
      <c r="K451">
        <v>0.18</v>
      </c>
      <c r="L451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451">
        <v>0</v>
      </c>
      <c r="N451">
        <v>0</v>
      </c>
      <c r="O451">
        <v>0</v>
      </c>
      <c r="P451">
        <v>47108.068500000001</v>
      </c>
      <c r="Q451">
        <v>122298</v>
      </c>
      <c r="R451">
        <f>(Granger_Inventory[[#This Row],[ln_acres]]*Granger_Inventory[[#This Row],[coeff]])+Granger_Inventory[[#This Row],[const]]</f>
        <v>41517.1581857532</v>
      </c>
      <c r="S451" t="s">
        <v>69</v>
      </c>
      <c r="T451">
        <v>1</v>
      </c>
      <c r="U451" t="s">
        <v>71</v>
      </c>
      <c r="V451" t="s">
        <v>70</v>
      </c>
      <c r="W451">
        <v>0</v>
      </c>
      <c r="X451">
        <v>0</v>
      </c>
      <c r="Y451">
        <v>17</v>
      </c>
      <c r="Z451">
        <v>17</v>
      </c>
      <c r="AA451">
        <v>20</v>
      </c>
      <c r="AB451">
        <v>1500</v>
      </c>
      <c r="AC451">
        <v>1074</v>
      </c>
      <c r="AD451">
        <v>1074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70</v>
      </c>
      <c r="AO451">
        <v>0</v>
      </c>
      <c r="AP451">
        <v>7</v>
      </c>
      <c r="AQ451">
        <v>0</v>
      </c>
      <c r="AR451">
        <v>0</v>
      </c>
      <c r="AS451" t="s">
        <v>59</v>
      </c>
      <c r="AT451">
        <v>1</v>
      </c>
      <c r="AU451" t="s">
        <v>68</v>
      </c>
      <c r="AV451" t="s">
        <v>65</v>
      </c>
      <c r="AW451">
        <v>0</v>
      </c>
      <c r="AX451">
        <v>3</v>
      </c>
      <c r="AY451">
        <v>0</v>
      </c>
      <c r="AZ451">
        <v>0</v>
      </c>
      <c r="BA451">
        <v>100</v>
      </c>
      <c r="BB451">
        <v>100</v>
      </c>
      <c r="BC451">
        <v>100</v>
      </c>
      <c r="BD451">
        <v>100</v>
      </c>
      <c r="BE451">
        <v>1</v>
      </c>
      <c r="BF451">
        <v>15000</v>
      </c>
      <c r="BG451">
        <v>1000</v>
      </c>
      <c r="BH451" s="8">
        <f>Granger_Inventory[[#This Row],[land_extract]]*Lookups!$B$3</f>
        <v>24733.049859725303</v>
      </c>
      <c r="BI451" s="8">
        <f>IF(Granger_Inventory[[#This Row],[bldg_style]]="",0,Lookups!$B$2)</f>
        <v>29703.559000000001</v>
      </c>
      <c r="BJ451" s="8">
        <f>_xlfn.IFNA(VLOOKUP(Granger_Inventory[[#This Row],[quality]],Lookups!$H$2:$J$14,3,FALSE),0)</f>
        <v>34195</v>
      </c>
      <c r="BK451" s="8">
        <f>_xlfn.IFNA(VLOOKUP(Granger_Inventory[[#This Row],[condition]],Lookups!$H$17:$J$24,3,FALSE),0)</f>
        <v>80695</v>
      </c>
      <c r="BL451" s="8">
        <f>Granger_Inventory[[#This Row],[Age]]*Lookups!$B$16</f>
        <v>-3524.6286999999998</v>
      </c>
      <c r="BM451" s="8">
        <f>Granger_Inventory[[#This Row],[living_area]]*Lookups!$B$17</f>
        <v>72251.104265999995</v>
      </c>
      <c r="BN451" s="8">
        <f>(Granger_Inventory[[#This Row],[att_gar]]+Granger_Inventory[[#This Row],[blt_gar]])*Lookups!$B$18</f>
        <v>0</v>
      </c>
      <c r="BO451" s="8">
        <f>Granger_Inventory[[#This Row],[Patio]]*Lookups!$B$19</f>
        <v>0</v>
      </c>
      <c r="BP451" s="8">
        <f>SUM(Granger_Inventory[[#This Row],[Intercept]:[Patio_Value]])*Granger_Inventory[[#This Row],[res_pct]]</f>
        <v>213320.03456599999</v>
      </c>
      <c r="BQ451" s="8">
        <f>Granger_Inventory[[#This Row],[land_value]]</f>
        <v>24733.049859725303</v>
      </c>
      <c r="BR451" s="4">
        <f>_xlfn.IFNA(VLOOKUP(Granger_Inventory[[#This Row],[quality]],Lookups!$A$25:$C$35,3,FALSE),1)</f>
        <v>0.98258795897788032</v>
      </c>
      <c r="BS451" s="4">
        <f>_xlfn.IFNA(VLOOKUP(Granger_Inventory[[#This Row],[condition]],Lookups!$A$38:$C$45,3,FALSE),1)</f>
        <v>0.99484195314749324</v>
      </c>
      <c r="BT451" s="4">
        <f>IF(Granger_Inventory[[#This Row],[decade]]="",1,_xlfn.IFNA(VLOOKUP(Granger_Inventory[[#This Row],[decade]],Lookups!$G$28:$I$42,3,FALSE),1))</f>
        <v>1.0159161060824455</v>
      </c>
      <c r="BU451" s="4">
        <f>_xlfn.IFNA(VLOOKUP(Granger_Inventory[[#This Row],[living_area_range]],Lookups!$A$48:$C$57,3,FALSE),1)</f>
        <v>0.97960506760539345</v>
      </c>
      <c r="BV451" s="4">
        <f>AVERAGE(Granger_Inventory[[#This Row],[qual_adj]:[living_range_adj]])</f>
        <v>0.99323777145330316</v>
      </c>
      <c r="BW451" s="8">
        <f>(Granger_Inventory[[#This Row],[sum_land]]-IF(Granger_Inventory[[#This Row],[no_utilities]]=1,12000,0))/IF(Granger_Inventory[[#This Row],[unbuildable]]=1,2,1)</f>
        <v>24733.049859725303</v>
      </c>
      <c r="BX451" s="8">
        <f>Granger_Inventory[[#This Row],[pre_res]]*Granger_Inventory[[#This Row],[overall_adj]]</f>
        <v>211877.51573867543</v>
      </c>
      <c r="BY451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451">
        <f>ROUND(Granger_Inventory[[#This Row],[detatched_value]]*Lookups!$I$45,-2)</f>
        <v>0</v>
      </c>
      <c r="CA451">
        <f>IF(ROUND(Granger_Inventory[[#This Row],[adj_res]]*Lookups!$I$45,-2)&lt;Granger_Inventory[[#This Row],[min_res]],Granger_Inventory[[#This Row],[min_res]],ROUND(Granger_Inventory[[#This Row],[adj_res]]*Lookups!$I$45,-2))</f>
        <v>201300</v>
      </c>
      <c r="CB451">
        <f>Granger_Inventory[[#This Row],[final_det]]+Granger_Inventory[[#This Row],[final_res]]</f>
        <v>201300</v>
      </c>
      <c r="CC451">
        <f>Granger_Inventory[[#This Row],[final_land]]+Granger_Inventory[[#This Row],[final_imp]]+Granger_Inventory[[#This Row],[crop_value]]</f>
        <v>224800</v>
      </c>
      <c r="CE451" t="str">
        <f t="shared" si="7"/>
        <v>update valuation set market_land =23500, market_bldg=201300, market_total =224800, market_mdno =402, market_date ='9/10/2023' where link_id = (select link_id from parcel where parcel_year = '2024' and parcel_id = '21102114541');</v>
      </c>
    </row>
    <row r="452" spans="1:83" x14ac:dyDescent="0.25">
      <c r="A452">
        <v>21102114543</v>
      </c>
      <c r="B452">
        <v>0.24</v>
      </c>
      <c r="C452">
        <v>10542</v>
      </c>
      <c r="D452" t="s">
        <v>137</v>
      </c>
      <c r="E452" t="s">
        <v>54</v>
      </c>
      <c r="F452" t="s">
        <v>54</v>
      </c>
      <c r="G452">
        <v>3</v>
      </c>
      <c r="H452" t="s">
        <v>55</v>
      </c>
      <c r="I452">
        <v>227600</v>
      </c>
      <c r="J452">
        <v>27200</v>
      </c>
      <c r="K452">
        <v>0.24</v>
      </c>
      <c r="L452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52">
        <v>0</v>
      </c>
      <c r="N452">
        <v>0</v>
      </c>
      <c r="O452">
        <v>0</v>
      </c>
      <c r="P452">
        <v>47108.068500000001</v>
      </c>
      <c r="Q452">
        <v>122298</v>
      </c>
      <c r="R452">
        <f>(Granger_Inventory[[#This Row],[ln_acres]]*Granger_Inventory[[#This Row],[coeff]])+Granger_Inventory[[#This Row],[const]]</f>
        <v>55069.304961033646</v>
      </c>
      <c r="S452" t="s">
        <v>62</v>
      </c>
      <c r="T452">
        <v>1</v>
      </c>
      <c r="U452" t="s">
        <v>71</v>
      </c>
      <c r="V452" t="s">
        <v>70</v>
      </c>
      <c r="W452">
        <v>0</v>
      </c>
      <c r="X452">
        <v>0</v>
      </c>
      <c r="Y452">
        <v>15</v>
      </c>
      <c r="Z452">
        <v>15</v>
      </c>
      <c r="AA452">
        <v>20</v>
      </c>
      <c r="AB452">
        <v>1500</v>
      </c>
      <c r="AC452">
        <v>1216</v>
      </c>
      <c r="AD452">
        <v>1216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84</v>
      </c>
      <c r="AO452">
        <v>0</v>
      </c>
      <c r="AP452">
        <v>8</v>
      </c>
      <c r="AQ452">
        <v>0</v>
      </c>
      <c r="AR452">
        <v>0</v>
      </c>
      <c r="AS452" t="s">
        <v>59</v>
      </c>
      <c r="AT452">
        <v>1</v>
      </c>
      <c r="AU452" t="s">
        <v>68</v>
      </c>
      <c r="AV452" t="s">
        <v>65</v>
      </c>
      <c r="AW452">
        <v>0</v>
      </c>
      <c r="AX452">
        <v>4</v>
      </c>
      <c r="AY452">
        <v>0</v>
      </c>
      <c r="AZ452">
        <v>0</v>
      </c>
      <c r="BA452">
        <v>100</v>
      </c>
      <c r="BB452">
        <v>100</v>
      </c>
      <c r="BC452">
        <v>100</v>
      </c>
      <c r="BD452">
        <v>100</v>
      </c>
      <c r="BE452">
        <v>1</v>
      </c>
      <c r="BF452">
        <v>15000</v>
      </c>
      <c r="BG452">
        <v>1000</v>
      </c>
      <c r="BH452" s="8">
        <f>Granger_Inventory[[#This Row],[land_extract]]*Lookups!$B$3</f>
        <v>32806.481099880541</v>
      </c>
      <c r="BI452" s="8">
        <f>IF(Granger_Inventory[[#This Row],[bldg_style]]="",0,Lookups!$B$2)</f>
        <v>29703.559000000001</v>
      </c>
      <c r="BJ452" s="8">
        <f>_xlfn.IFNA(VLOOKUP(Granger_Inventory[[#This Row],[quality]],Lookups!$H$2:$J$14,3,FALSE),0)</f>
        <v>34195</v>
      </c>
      <c r="BK452" s="8">
        <f>_xlfn.IFNA(VLOOKUP(Granger_Inventory[[#This Row],[condition]],Lookups!$H$17:$J$24,3,FALSE),0)</f>
        <v>80695</v>
      </c>
      <c r="BL452" s="8">
        <f>Granger_Inventory[[#This Row],[Age]]*Lookups!$B$16</f>
        <v>-3109.9665</v>
      </c>
      <c r="BM452" s="8">
        <f>Granger_Inventory[[#This Row],[living_area]]*Lookups!$B$17</f>
        <v>81803.857344000004</v>
      </c>
      <c r="BN452" s="8">
        <f>(Granger_Inventory[[#This Row],[att_gar]]+Granger_Inventory[[#This Row],[blt_gar]])*Lookups!$B$18</f>
        <v>0</v>
      </c>
      <c r="BO452" s="8">
        <f>Granger_Inventory[[#This Row],[Patio]]*Lookups!$B$19</f>
        <v>0</v>
      </c>
      <c r="BP452" s="8">
        <f>SUM(Granger_Inventory[[#This Row],[Intercept]:[Patio_Value]])*Granger_Inventory[[#This Row],[res_pct]]</f>
        <v>223287.44984399999</v>
      </c>
      <c r="BQ452" s="8">
        <f>Granger_Inventory[[#This Row],[land_value]]</f>
        <v>32806.481099880541</v>
      </c>
      <c r="BR452" s="4">
        <f>_xlfn.IFNA(VLOOKUP(Granger_Inventory[[#This Row],[quality]],Lookups!$A$25:$C$35,3,FALSE),1)</f>
        <v>0.98258795897788032</v>
      </c>
      <c r="BS452" s="4">
        <f>_xlfn.IFNA(VLOOKUP(Granger_Inventory[[#This Row],[condition]],Lookups!$A$38:$C$45,3,FALSE),1)</f>
        <v>0.99484195314749324</v>
      </c>
      <c r="BT452" s="4">
        <f>IF(Granger_Inventory[[#This Row],[decade]]="",1,_xlfn.IFNA(VLOOKUP(Granger_Inventory[[#This Row],[decade]],Lookups!$G$28:$I$42,3,FALSE),1))</f>
        <v>1.0159161060824455</v>
      </c>
      <c r="BU452" s="4">
        <f>_xlfn.IFNA(VLOOKUP(Granger_Inventory[[#This Row],[living_area_range]],Lookups!$A$48:$C$57,3,FALSE),1)</f>
        <v>0.97960506760539345</v>
      </c>
      <c r="BV452" s="4">
        <f>AVERAGE(Granger_Inventory[[#This Row],[qual_adj]:[living_range_adj]])</f>
        <v>0.99323777145330316</v>
      </c>
      <c r="BW452" s="8">
        <f>(Granger_Inventory[[#This Row],[sum_land]]-IF(Granger_Inventory[[#This Row],[no_utilities]]=1,12000,0))/IF(Granger_Inventory[[#This Row],[unbuildable]]=1,2,1)</f>
        <v>32806.481099880541</v>
      </c>
      <c r="BX452" s="8">
        <f>Granger_Inventory[[#This Row],[pre_res]]*Granger_Inventory[[#This Row],[overall_adj]]</f>
        <v>221777.52907654576</v>
      </c>
      <c r="BY452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52">
        <f>ROUND(Granger_Inventory[[#This Row],[detatched_value]]*Lookups!$I$45,-2)</f>
        <v>0</v>
      </c>
      <c r="CA452">
        <f>IF(ROUND(Granger_Inventory[[#This Row],[adj_res]]*Lookups!$I$45,-2)&lt;Granger_Inventory[[#This Row],[min_res]],Granger_Inventory[[#This Row],[min_res]],ROUND(Granger_Inventory[[#This Row],[adj_res]]*Lookups!$I$45,-2))</f>
        <v>210700</v>
      </c>
      <c r="CB452">
        <f>Granger_Inventory[[#This Row],[final_det]]+Granger_Inventory[[#This Row],[final_res]]</f>
        <v>210700</v>
      </c>
      <c r="CC452">
        <f>Granger_Inventory[[#This Row],[final_land]]+Granger_Inventory[[#This Row],[final_imp]]+Granger_Inventory[[#This Row],[crop_value]]</f>
        <v>241900</v>
      </c>
      <c r="CE452" t="str">
        <f t="shared" si="7"/>
        <v>update valuation set market_land =31200, market_bldg=210700, market_total =241900, market_mdno =402, market_date ='9/10/2023' where link_id = (select link_id from parcel where parcel_year = '2024' and parcel_id = '21102114543');</v>
      </c>
    </row>
    <row r="453" spans="1:83" x14ac:dyDescent="0.25">
      <c r="A453">
        <v>21102114544</v>
      </c>
      <c r="B453">
        <v>0.19</v>
      </c>
      <c r="C453">
        <v>8066</v>
      </c>
      <c r="D453" t="s">
        <v>137</v>
      </c>
      <c r="E453" t="s">
        <v>54</v>
      </c>
      <c r="F453" t="s">
        <v>54</v>
      </c>
      <c r="G453">
        <v>3</v>
      </c>
      <c r="H453" t="s">
        <v>55</v>
      </c>
      <c r="I453">
        <v>194000</v>
      </c>
      <c r="J453">
        <v>25900</v>
      </c>
      <c r="K453">
        <v>0.19</v>
      </c>
      <c r="L453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53">
        <v>0</v>
      </c>
      <c r="N453">
        <v>0</v>
      </c>
      <c r="O453">
        <v>0</v>
      </c>
      <c r="P453">
        <v>47108.068500000001</v>
      </c>
      <c r="Q453">
        <v>122298</v>
      </c>
      <c r="R453">
        <f>(Granger_Inventory[[#This Row],[ln_acres]]*Granger_Inventory[[#This Row],[coeff]])+Granger_Inventory[[#This Row],[const]]</f>
        <v>44064.160548957996</v>
      </c>
      <c r="S453" t="s">
        <v>62</v>
      </c>
      <c r="T453">
        <v>1</v>
      </c>
      <c r="U453" t="s">
        <v>71</v>
      </c>
      <c r="V453" t="s">
        <v>70</v>
      </c>
      <c r="W453">
        <v>0</v>
      </c>
      <c r="X453">
        <v>0</v>
      </c>
      <c r="Y453">
        <v>16</v>
      </c>
      <c r="Z453">
        <v>16</v>
      </c>
      <c r="AA453">
        <v>20</v>
      </c>
      <c r="AB453">
        <v>1500</v>
      </c>
      <c r="AC453">
        <v>1072</v>
      </c>
      <c r="AD453">
        <v>1072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72</v>
      </c>
      <c r="AO453">
        <v>0</v>
      </c>
      <c r="AP453">
        <v>8</v>
      </c>
      <c r="AQ453">
        <v>0</v>
      </c>
      <c r="AR453">
        <v>0</v>
      </c>
      <c r="AS453" t="s">
        <v>59</v>
      </c>
      <c r="AT453">
        <v>1</v>
      </c>
      <c r="AU453" t="s">
        <v>76</v>
      </c>
      <c r="AV453" t="s">
        <v>65</v>
      </c>
      <c r="AW453">
        <v>0</v>
      </c>
      <c r="AX453">
        <v>3</v>
      </c>
      <c r="AY453">
        <v>0</v>
      </c>
      <c r="AZ453">
        <v>0</v>
      </c>
      <c r="BA453">
        <v>100</v>
      </c>
      <c r="BB453">
        <v>100</v>
      </c>
      <c r="BC453">
        <v>100</v>
      </c>
      <c r="BD453">
        <v>100</v>
      </c>
      <c r="BE453">
        <v>1</v>
      </c>
      <c r="BF453">
        <v>15000</v>
      </c>
      <c r="BG453">
        <v>1000</v>
      </c>
      <c r="BH453" s="8">
        <f>Granger_Inventory[[#This Row],[land_extract]]*Lookups!$B$3</f>
        <v>26250.377615159185</v>
      </c>
      <c r="BI453" s="8">
        <f>IF(Granger_Inventory[[#This Row],[bldg_style]]="",0,Lookups!$B$2)</f>
        <v>29703.559000000001</v>
      </c>
      <c r="BJ453" s="8">
        <f>_xlfn.IFNA(VLOOKUP(Granger_Inventory[[#This Row],[quality]],Lookups!$H$2:$J$14,3,FALSE),0)</f>
        <v>34195</v>
      </c>
      <c r="BK453" s="8">
        <f>_xlfn.IFNA(VLOOKUP(Granger_Inventory[[#This Row],[condition]],Lookups!$H$17:$J$24,3,FALSE),0)</f>
        <v>80695</v>
      </c>
      <c r="BL453" s="8">
        <f>Granger_Inventory[[#This Row],[Age]]*Lookups!$B$16</f>
        <v>-3317.2975999999999</v>
      </c>
      <c r="BM453" s="8">
        <f>Granger_Inventory[[#This Row],[living_area]]*Lookups!$B$17</f>
        <v>72116.558447999996</v>
      </c>
      <c r="BN453" s="8">
        <f>(Granger_Inventory[[#This Row],[att_gar]]+Granger_Inventory[[#This Row],[blt_gar]])*Lookups!$B$18</f>
        <v>0</v>
      </c>
      <c r="BO453" s="8">
        <f>Granger_Inventory[[#This Row],[Patio]]*Lookups!$B$19</f>
        <v>0</v>
      </c>
      <c r="BP453" s="8">
        <f>SUM(Granger_Inventory[[#This Row],[Intercept]:[Patio_Value]])*Granger_Inventory[[#This Row],[res_pct]]</f>
        <v>213392.81984800001</v>
      </c>
      <c r="BQ453" s="8">
        <f>Granger_Inventory[[#This Row],[land_value]]</f>
        <v>26250.377615159185</v>
      </c>
      <c r="BR453" s="4">
        <f>_xlfn.IFNA(VLOOKUP(Granger_Inventory[[#This Row],[quality]],Lookups!$A$25:$C$35,3,FALSE),1)</f>
        <v>0.98258795897788032</v>
      </c>
      <c r="BS453" s="4">
        <f>_xlfn.IFNA(VLOOKUP(Granger_Inventory[[#This Row],[condition]],Lookups!$A$38:$C$45,3,FALSE),1)</f>
        <v>0.99484195314749324</v>
      </c>
      <c r="BT453" s="4">
        <f>IF(Granger_Inventory[[#This Row],[decade]]="",1,_xlfn.IFNA(VLOOKUP(Granger_Inventory[[#This Row],[decade]],Lookups!$G$28:$I$42,3,FALSE),1))</f>
        <v>1.0159161060824455</v>
      </c>
      <c r="BU453" s="4">
        <f>_xlfn.IFNA(VLOOKUP(Granger_Inventory[[#This Row],[living_area_range]],Lookups!$A$48:$C$57,3,FALSE),1)</f>
        <v>0.97960506760539345</v>
      </c>
      <c r="BV453" s="4">
        <f>AVERAGE(Granger_Inventory[[#This Row],[qual_adj]:[living_range_adj]])</f>
        <v>0.99323777145330316</v>
      </c>
      <c r="BW453" s="8">
        <f>(Granger_Inventory[[#This Row],[sum_land]]-IF(Granger_Inventory[[#This Row],[no_utilities]]=1,12000,0))/IF(Granger_Inventory[[#This Row],[unbuildable]]=1,2,1)</f>
        <v>26250.377615159185</v>
      </c>
      <c r="BX453" s="8">
        <f>Granger_Inventory[[#This Row],[pre_res]]*Granger_Inventory[[#This Row],[overall_adj]]</f>
        <v>211949.80882996373</v>
      </c>
      <c r="BY453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53">
        <f>ROUND(Granger_Inventory[[#This Row],[detatched_value]]*Lookups!$I$45,-2)</f>
        <v>0</v>
      </c>
      <c r="CA453">
        <f>IF(ROUND(Granger_Inventory[[#This Row],[adj_res]]*Lookups!$I$45,-2)&lt;Granger_Inventory[[#This Row],[min_res]],Granger_Inventory[[#This Row],[min_res]],ROUND(Granger_Inventory[[#This Row],[adj_res]]*Lookups!$I$45,-2))</f>
        <v>201400</v>
      </c>
      <c r="CB453">
        <f>Granger_Inventory[[#This Row],[final_det]]+Granger_Inventory[[#This Row],[final_res]]</f>
        <v>201400</v>
      </c>
      <c r="CC453">
        <f>Granger_Inventory[[#This Row],[final_land]]+Granger_Inventory[[#This Row],[final_imp]]+Granger_Inventory[[#This Row],[crop_value]]</f>
        <v>226300</v>
      </c>
      <c r="CE453" t="str">
        <f t="shared" si="7"/>
        <v>update valuation set market_land =24900, market_bldg=201400, market_total =226300, market_mdno =402, market_date ='9/10/2023' where link_id = (select link_id from parcel where parcel_year = '2024' and parcel_id = '21102114544');</v>
      </c>
    </row>
    <row r="454" spans="1:83" x14ac:dyDescent="0.25">
      <c r="A454">
        <v>21102114545</v>
      </c>
      <c r="B454">
        <v>0.18</v>
      </c>
      <c r="C454">
        <v>7773</v>
      </c>
      <c r="D454" t="s">
        <v>137</v>
      </c>
      <c r="E454" t="s">
        <v>54</v>
      </c>
      <c r="F454" t="s">
        <v>54</v>
      </c>
      <c r="G454">
        <v>3</v>
      </c>
      <c r="H454" t="s">
        <v>55</v>
      </c>
      <c r="I454">
        <v>186300</v>
      </c>
      <c r="J454">
        <v>25600</v>
      </c>
      <c r="K454">
        <v>0.18</v>
      </c>
      <c r="L454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454">
        <v>0</v>
      </c>
      <c r="N454">
        <v>0</v>
      </c>
      <c r="O454">
        <v>0</v>
      </c>
      <c r="P454">
        <v>47108.068500000001</v>
      </c>
      <c r="Q454">
        <v>122298</v>
      </c>
      <c r="R454">
        <f>(Granger_Inventory[[#This Row],[ln_acres]]*Granger_Inventory[[#This Row],[coeff]])+Granger_Inventory[[#This Row],[const]]</f>
        <v>41517.1581857532</v>
      </c>
      <c r="S454" t="s">
        <v>69</v>
      </c>
      <c r="T454">
        <v>1</v>
      </c>
      <c r="U454" t="s">
        <v>71</v>
      </c>
      <c r="V454" t="s">
        <v>70</v>
      </c>
      <c r="W454">
        <v>0</v>
      </c>
      <c r="X454">
        <v>0</v>
      </c>
      <c r="Y454">
        <v>15</v>
      </c>
      <c r="Z454">
        <v>15</v>
      </c>
      <c r="AA454">
        <v>20</v>
      </c>
      <c r="AB454">
        <v>1500</v>
      </c>
      <c r="AC454">
        <v>1060</v>
      </c>
      <c r="AD454">
        <v>1060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84</v>
      </c>
      <c r="AO454">
        <v>0</v>
      </c>
      <c r="AP454">
        <v>7</v>
      </c>
      <c r="AQ454">
        <v>0</v>
      </c>
      <c r="AR454">
        <v>0</v>
      </c>
      <c r="AS454" t="s">
        <v>59</v>
      </c>
      <c r="AT454">
        <v>1</v>
      </c>
      <c r="AU454" t="s">
        <v>68</v>
      </c>
      <c r="AV454" t="s">
        <v>65</v>
      </c>
      <c r="AW454">
        <v>0</v>
      </c>
      <c r="AX454">
        <v>3</v>
      </c>
      <c r="AY454">
        <v>0</v>
      </c>
      <c r="AZ454">
        <v>200</v>
      </c>
      <c r="BA454">
        <v>100</v>
      </c>
      <c r="BB454">
        <v>100</v>
      </c>
      <c r="BC454">
        <v>100</v>
      </c>
      <c r="BD454">
        <v>100</v>
      </c>
      <c r="BE454">
        <v>1</v>
      </c>
      <c r="BF454">
        <v>15000</v>
      </c>
      <c r="BG454">
        <v>1000</v>
      </c>
      <c r="BH454" s="8">
        <f>Granger_Inventory[[#This Row],[land_extract]]*Lookups!$B$3</f>
        <v>24733.049859725303</v>
      </c>
      <c r="BI454" s="8">
        <f>IF(Granger_Inventory[[#This Row],[bldg_style]]="",0,Lookups!$B$2)</f>
        <v>29703.559000000001</v>
      </c>
      <c r="BJ454" s="8">
        <f>_xlfn.IFNA(VLOOKUP(Granger_Inventory[[#This Row],[quality]],Lookups!$H$2:$J$14,3,FALSE),0)</f>
        <v>34195</v>
      </c>
      <c r="BK454" s="8">
        <f>_xlfn.IFNA(VLOOKUP(Granger_Inventory[[#This Row],[condition]],Lookups!$H$17:$J$24,3,FALSE),0)</f>
        <v>80695</v>
      </c>
      <c r="BL454" s="8">
        <f>Granger_Inventory[[#This Row],[Age]]*Lookups!$B$16</f>
        <v>-3109.9665</v>
      </c>
      <c r="BM454" s="8">
        <f>Granger_Inventory[[#This Row],[living_area]]*Lookups!$B$17</f>
        <v>71309.283540000004</v>
      </c>
      <c r="BN454" s="8">
        <f>(Granger_Inventory[[#This Row],[att_gar]]+Granger_Inventory[[#This Row],[blt_gar]])*Lookups!$B$18</f>
        <v>0</v>
      </c>
      <c r="BO454" s="8">
        <f>Granger_Inventory[[#This Row],[Patio]]*Lookups!$B$19</f>
        <v>0</v>
      </c>
      <c r="BP454" s="8">
        <f>SUM(Granger_Inventory[[#This Row],[Intercept]:[Patio_Value]])*Granger_Inventory[[#This Row],[res_pct]]</f>
        <v>212792.87604</v>
      </c>
      <c r="BQ454" s="8">
        <f>Granger_Inventory[[#This Row],[land_value]]</f>
        <v>24733.049859725303</v>
      </c>
      <c r="BR454" s="4">
        <f>_xlfn.IFNA(VLOOKUP(Granger_Inventory[[#This Row],[quality]],Lookups!$A$25:$C$35,3,FALSE),1)</f>
        <v>0.98258795897788032</v>
      </c>
      <c r="BS454" s="4">
        <f>_xlfn.IFNA(VLOOKUP(Granger_Inventory[[#This Row],[condition]],Lookups!$A$38:$C$45,3,FALSE),1)</f>
        <v>0.99484195314749324</v>
      </c>
      <c r="BT454" s="4">
        <f>IF(Granger_Inventory[[#This Row],[decade]]="",1,_xlfn.IFNA(VLOOKUP(Granger_Inventory[[#This Row],[decade]],Lookups!$G$28:$I$42,3,FALSE),1))</f>
        <v>1.0159161060824455</v>
      </c>
      <c r="BU454" s="4">
        <f>_xlfn.IFNA(VLOOKUP(Granger_Inventory[[#This Row],[living_area_range]],Lookups!$A$48:$C$57,3,FALSE),1)</f>
        <v>0.97960506760539345</v>
      </c>
      <c r="BV454" s="4">
        <f>AVERAGE(Granger_Inventory[[#This Row],[qual_adj]:[living_range_adj]])</f>
        <v>0.99323777145330316</v>
      </c>
      <c r="BW454" s="8">
        <f>(Granger_Inventory[[#This Row],[sum_land]]-IF(Granger_Inventory[[#This Row],[no_utilities]]=1,12000,0))/IF(Granger_Inventory[[#This Row],[unbuildable]]=1,2,1)</f>
        <v>24733.049859725303</v>
      </c>
      <c r="BX454" s="8">
        <f>Granger_Inventory[[#This Row],[pre_res]]*Granger_Inventory[[#This Row],[overall_adj]]</f>
        <v>211353.92197910859</v>
      </c>
      <c r="BY454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454">
        <f>ROUND(Granger_Inventory[[#This Row],[detatched_value]]*Lookups!$I$45,-2)</f>
        <v>200</v>
      </c>
      <c r="CA454">
        <f>IF(ROUND(Granger_Inventory[[#This Row],[adj_res]]*Lookups!$I$45,-2)&lt;Granger_Inventory[[#This Row],[min_res]],Granger_Inventory[[#This Row],[min_res]],ROUND(Granger_Inventory[[#This Row],[adj_res]]*Lookups!$I$45,-2))</f>
        <v>200800</v>
      </c>
      <c r="CB454">
        <f>Granger_Inventory[[#This Row],[final_det]]+Granger_Inventory[[#This Row],[final_res]]</f>
        <v>201000</v>
      </c>
      <c r="CC454">
        <f>Granger_Inventory[[#This Row],[final_land]]+Granger_Inventory[[#This Row],[final_imp]]+Granger_Inventory[[#This Row],[crop_value]]</f>
        <v>224500</v>
      </c>
      <c r="CE454" t="str">
        <f t="shared" si="7"/>
        <v>update valuation set market_land =23500, market_bldg=201000, market_total =224500, market_mdno =402, market_date ='9/10/2023' where link_id = (select link_id from parcel where parcel_year = '2024' and parcel_id = '21102114545');</v>
      </c>
    </row>
    <row r="455" spans="1:83" x14ac:dyDescent="0.25">
      <c r="A455">
        <v>21102114549</v>
      </c>
      <c r="B455">
        <v>0.35</v>
      </c>
      <c r="C455">
        <v>15382</v>
      </c>
      <c r="D455" t="s">
        <v>137</v>
      </c>
      <c r="E455" t="s">
        <v>54</v>
      </c>
      <c r="F455" t="s">
        <v>54</v>
      </c>
      <c r="G455">
        <v>3</v>
      </c>
      <c r="H455" t="s">
        <v>55</v>
      </c>
      <c r="I455">
        <v>372900</v>
      </c>
      <c r="J455">
        <v>29300</v>
      </c>
      <c r="K455">
        <v>0.35</v>
      </c>
      <c r="L455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455">
        <v>0</v>
      </c>
      <c r="N455">
        <v>0</v>
      </c>
      <c r="O455">
        <v>0</v>
      </c>
      <c r="P455">
        <v>47108.068500000001</v>
      </c>
      <c r="Q455">
        <v>122298</v>
      </c>
      <c r="R455">
        <f>(Granger_Inventory[[#This Row],[ln_acres]]*Granger_Inventory[[#This Row],[coeff]])+Granger_Inventory[[#This Row],[const]]</f>
        <v>72842.907446300756</v>
      </c>
      <c r="S455" t="s">
        <v>59</v>
      </c>
      <c r="T455">
        <v>1</v>
      </c>
      <c r="U455" t="s">
        <v>61</v>
      </c>
      <c r="V455" t="s">
        <v>72</v>
      </c>
      <c r="W455">
        <v>0</v>
      </c>
      <c r="X455">
        <v>0</v>
      </c>
      <c r="Y455">
        <v>16</v>
      </c>
      <c r="Z455">
        <v>16</v>
      </c>
      <c r="AA455">
        <v>20</v>
      </c>
      <c r="AB455">
        <v>3000</v>
      </c>
      <c r="AC455">
        <v>2561</v>
      </c>
      <c r="AD455">
        <v>2328</v>
      </c>
      <c r="AE455">
        <v>0</v>
      </c>
      <c r="AF455">
        <v>233</v>
      </c>
      <c r="AG455">
        <v>0</v>
      </c>
      <c r="AH455">
        <v>0</v>
      </c>
      <c r="AI455">
        <v>462</v>
      </c>
      <c r="AJ455">
        <v>0</v>
      </c>
      <c r="AK455">
        <v>0</v>
      </c>
      <c r="AL455">
        <v>0</v>
      </c>
      <c r="AM455">
        <v>0</v>
      </c>
      <c r="AN455">
        <v>94</v>
      </c>
      <c r="AO455">
        <v>0</v>
      </c>
      <c r="AP455">
        <v>12</v>
      </c>
      <c r="AQ455">
        <v>0</v>
      </c>
      <c r="AR455">
        <v>0</v>
      </c>
      <c r="AS455" t="s">
        <v>59</v>
      </c>
      <c r="AT455">
        <v>1</v>
      </c>
      <c r="AU455" t="s">
        <v>63</v>
      </c>
      <c r="AV455" t="s">
        <v>65</v>
      </c>
      <c r="AW455">
        <v>1</v>
      </c>
      <c r="AX455">
        <v>4</v>
      </c>
      <c r="AY455">
        <v>0</v>
      </c>
      <c r="AZ455">
        <v>0</v>
      </c>
      <c r="BA455">
        <v>100</v>
      </c>
      <c r="BB455">
        <v>100</v>
      </c>
      <c r="BC455">
        <v>100</v>
      </c>
      <c r="BD455">
        <v>100</v>
      </c>
      <c r="BE455">
        <v>1</v>
      </c>
      <c r="BF455">
        <v>15000</v>
      </c>
      <c r="BG455">
        <v>1000</v>
      </c>
      <c r="BH455" s="8">
        <f>Granger_Inventory[[#This Row],[land_extract]]*Lookups!$B$3</f>
        <v>43394.763527310708</v>
      </c>
      <c r="BI455" s="8">
        <f>IF(Granger_Inventory[[#This Row],[bldg_style]]="",0,Lookups!$B$2)</f>
        <v>29703.559000000001</v>
      </c>
      <c r="BJ455" s="8">
        <f>_xlfn.IFNA(VLOOKUP(Granger_Inventory[[#This Row],[quality]],Lookups!$H$2:$J$14,3,FALSE),0)</f>
        <v>71767</v>
      </c>
      <c r="BK455" s="8">
        <f>_xlfn.IFNA(VLOOKUP(Granger_Inventory[[#This Row],[condition]],Lookups!$H$17:$J$24,3,FALSE),0)</f>
        <v>94106</v>
      </c>
      <c r="BL455" s="8">
        <f>Granger_Inventory[[#This Row],[Age]]*Lookups!$B$16</f>
        <v>-3317.2975999999999</v>
      </c>
      <c r="BM455" s="8">
        <f>Granger_Inventory[[#This Row],[living_area]]*Lookups!$B$17</f>
        <v>172285.919949</v>
      </c>
      <c r="BN455" s="8">
        <f>(Granger_Inventory[[#This Row],[att_gar]]+Granger_Inventory[[#This Row],[blt_gar]])*Lookups!$B$18</f>
        <v>22382.784732</v>
      </c>
      <c r="BO455" s="8">
        <f>Granger_Inventory[[#This Row],[Patio]]*Lookups!$B$19</f>
        <v>0</v>
      </c>
      <c r="BP455" s="8">
        <f>SUM(Granger_Inventory[[#This Row],[Intercept]:[Patio_Value]])*Granger_Inventory[[#This Row],[res_pct]]</f>
        <v>386927.96608100005</v>
      </c>
      <c r="BQ455" s="8">
        <f>Granger_Inventory[[#This Row],[land_value]]</f>
        <v>43394.763527310708</v>
      </c>
      <c r="BR455" s="4">
        <f>_xlfn.IFNA(VLOOKUP(Granger_Inventory[[#This Row],[quality]],Lookups!$A$25:$C$35,3,FALSE),1)</f>
        <v>0.992092799099482</v>
      </c>
      <c r="BS455" s="4">
        <f>_xlfn.IFNA(VLOOKUP(Granger_Inventory[[#This Row],[condition]],Lookups!$A$38:$C$45,3,FALSE),1)</f>
        <v>0.98658583151544277</v>
      </c>
      <c r="BT455" s="4">
        <f>IF(Granger_Inventory[[#This Row],[decade]]="",1,_xlfn.IFNA(VLOOKUP(Granger_Inventory[[#This Row],[decade]],Lookups!$G$28:$I$42,3,FALSE),1))</f>
        <v>1.0159161060824455</v>
      </c>
      <c r="BU455" s="4">
        <f>_xlfn.IFNA(VLOOKUP(Granger_Inventory[[#This Row],[living_area_range]],Lookups!$A$48:$C$57,3,FALSE),1)</f>
        <v>0.99995754169072248</v>
      </c>
      <c r="BV455" s="4">
        <f>AVERAGE(Granger_Inventory[[#This Row],[qual_adj]:[living_range_adj]])</f>
        <v>0.99863806959702317</v>
      </c>
      <c r="BW455" s="8">
        <f>(Granger_Inventory[[#This Row],[sum_land]]-IF(Granger_Inventory[[#This Row],[no_utilities]]=1,12000,0))/IF(Granger_Inventory[[#This Row],[unbuildable]]=1,2,1)</f>
        <v>43394.763527310708</v>
      </c>
      <c r="BX455" s="8">
        <f>Granger_Inventory[[#This Row],[pre_res]]*Granger_Inventory[[#This Row],[overall_adj]]</f>
        <v>386400.99712023232</v>
      </c>
      <c r="BY455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455">
        <f>ROUND(Granger_Inventory[[#This Row],[detatched_value]]*Lookups!$I$45,-2)</f>
        <v>0</v>
      </c>
      <c r="CA455">
        <f>IF(ROUND(Granger_Inventory[[#This Row],[adj_res]]*Lookups!$I$45,-2)&lt;Granger_Inventory[[#This Row],[min_res]],Granger_Inventory[[#This Row],[min_res]],ROUND(Granger_Inventory[[#This Row],[adj_res]]*Lookups!$I$45,-2))</f>
        <v>367100</v>
      </c>
      <c r="CB455">
        <f>Granger_Inventory[[#This Row],[final_det]]+Granger_Inventory[[#This Row],[final_res]]</f>
        <v>367100</v>
      </c>
      <c r="CC455">
        <f>Granger_Inventory[[#This Row],[final_land]]+Granger_Inventory[[#This Row],[final_imp]]+Granger_Inventory[[#This Row],[crop_value]]</f>
        <v>408300</v>
      </c>
      <c r="CE455" t="str">
        <f t="shared" si="7"/>
        <v>update valuation set market_land =41200, market_bldg=367100, market_total =408300, market_mdno =402, market_date ='9/10/2023' where link_id = (select link_id from parcel where parcel_year = '2024' and parcel_id = '21102114549');</v>
      </c>
    </row>
    <row r="456" spans="1:83" x14ac:dyDescent="0.25">
      <c r="A456">
        <v>21102114552</v>
      </c>
      <c r="B456">
        <v>0.19</v>
      </c>
      <c r="C456">
        <v>8252</v>
      </c>
      <c r="D456" t="s">
        <v>137</v>
      </c>
      <c r="E456" t="s">
        <v>54</v>
      </c>
      <c r="F456" t="s">
        <v>54</v>
      </c>
      <c r="G456">
        <v>3</v>
      </c>
      <c r="H456" t="s">
        <v>55</v>
      </c>
      <c r="I456">
        <v>200600</v>
      </c>
      <c r="J456">
        <v>25900</v>
      </c>
      <c r="K456">
        <v>0.19</v>
      </c>
      <c r="L456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56">
        <v>0</v>
      </c>
      <c r="N456">
        <v>0</v>
      </c>
      <c r="O456">
        <v>0</v>
      </c>
      <c r="P456">
        <v>47108.068500000001</v>
      </c>
      <c r="Q456">
        <v>122298</v>
      </c>
      <c r="R456">
        <f>(Granger_Inventory[[#This Row],[ln_acres]]*Granger_Inventory[[#This Row],[coeff]])+Granger_Inventory[[#This Row],[const]]</f>
        <v>44064.160548957996</v>
      </c>
      <c r="S456" t="s">
        <v>56</v>
      </c>
      <c r="T456">
        <v>1</v>
      </c>
      <c r="U456" t="s">
        <v>71</v>
      </c>
      <c r="V456" t="s">
        <v>70</v>
      </c>
      <c r="W456">
        <v>0</v>
      </c>
      <c r="X456">
        <v>0</v>
      </c>
      <c r="Y456">
        <v>13</v>
      </c>
      <c r="Z456">
        <v>13</v>
      </c>
      <c r="AA456">
        <v>20</v>
      </c>
      <c r="AB456">
        <v>1500</v>
      </c>
      <c r="AC456">
        <v>1363</v>
      </c>
      <c r="AD456">
        <v>1363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145</v>
      </c>
      <c r="AO456">
        <v>0</v>
      </c>
      <c r="AP456">
        <v>8</v>
      </c>
      <c r="AQ456">
        <v>0</v>
      </c>
      <c r="AR456">
        <v>0</v>
      </c>
      <c r="AS456" t="s">
        <v>59</v>
      </c>
      <c r="AT456">
        <v>1</v>
      </c>
      <c r="AU456" t="s">
        <v>68</v>
      </c>
      <c r="AV456" t="s">
        <v>65</v>
      </c>
      <c r="AW456">
        <v>0</v>
      </c>
      <c r="AX456">
        <v>3</v>
      </c>
      <c r="AY456">
        <v>0</v>
      </c>
      <c r="AZ456">
        <v>0</v>
      </c>
      <c r="BA456">
        <v>100</v>
      </c>
      <c r="BB456">
        <v>100</v>
      </c>
      <c r="BC456">
        <v>100</v>
      </c>
      <c r="BD456">
        <v>100</v>
      </c>
      <c r="BE456">
        <v>1</v>
      </c>
      <c r="BF456">
        <v>15000</v>
      </c>
      <c r="BG456">
        <v>1000</v>
      </c>
      <c r="BH456" s="8">
        <f>Granger_Inventory[[#This Row],[land_extract]]*Lookups!$B$3</f>
        <v>26250.377615159185</v>
      </c>
      <c r="BI456" s="8">
        <f>IF(Granger_Inventory[[#This Row],[bldg_style]]="",0,Lookups!$B$2)</f>
        <v>29703.559000000001</v>
      </c>
      <c r="BJ456" s="8">
        <f>_xlfn.IFNA(VLOOKUP(Granger_Inventory[[#This Row],[quality]],Lookups!$H$2:$J$14,3,FALSE),0)</f>
        <v>34195</v>
      </c>
      <c r="BK456" s="8">
        <f>_xlfn.IFNA(VLOOKUP(Granger_Inventory[[#This Row],[condition]],Lookups!$H$17:$J$24,3,FALSE),0)</f>
        <v>80695</v>
      </c>
      <c r="BL456" s="8">
        <f>Granger_Inventory[[#This Row],[Age]]*Lookups!$B$16</f>
        <v>-2695.3042999999998</v>
      </c>
      <c r="BM456" s="8">
        <f>Granger_Inventory[[#This Row],[living_area]]*Lookups!$B$17</f>
        <v>91692.974967000002</v>
      </c>
      <c r="BN456" s="8">
        <f>(Granger_Inventory[[#This Row],[att_gar]]+Granger_Inventory[[#This Row],[blt_gar]])*Lookups!$B$18</f>
        <v>0</v>
      </c>
      <c r="BO456" s="8">
        <f>Granger_Inventory[[#This Row],[Patio]]*Lookups!$B$19</f>
        <v>0</v>
      </c>
      <c r="BP456" s="8">
        <f>SUM(Granger_Inventory[[#This Row],[Intercept]:[Patio_Value]])*Granger_Inventory[[#This Row],[res_pct]]</f>
        <v>233591.22966700001</v>
      </c>
      <c r="BQ456" s="8">
        <f>Granger_Inventory[[#This Row],[land_value]]</f>
        <v>26250.377615159185</v>
      </c>
      <c r="BR456" s="4">
        <f>_xlfn.IFNA(VLOOKUP(Granger_Inventory[[#This Row],[quality]],Lookups!$A$25:$C$35,3,FALSE),1)</f>
        <v>0.98258795897788032</v>
      </c>
      <c r="BS456" s="4">
        <f>_xlfn.IFNA(VLOOKUP(Granger_Inventory[[#This Row],[condition]],Lookups!$A$38:$C$45,3,FALSE),1)</f>
        <v>0.99484195314749324</v>
      </c>
      <c r="BT456" s="4">
        <f>IF(Granger_Inventory[[#This Row],[decade]]="",1,_xlfn.IFNA(VLOOKUP(Granger_Inventory[[#This Row],[decade]],Lookups!$G$28:$I$42,3,FALSE),1))</f>
        <v>1.0159161060824455</v>
      </c>
      <c r="BU456" s="4">
        <f>_xlfn.IFNA(VLOOKUP(Granger_Inventory[[#This Row],[living_area_range]],Lookups!$A$48:$C$57,3,FALSE),1)</f>
        <v>0.97960506760539345</v>
      </c>
      <c r="BV456" s="4">
        <f>AVERAGE(Granger_Inventory[[#This Row],[qual_adj]:[living_range_adj]])</f>
        <v>0.99323777145330316</v>
      </c>
      <c r="BW456" s="8">
        <f>(Granger_Inventory[[#This Row],[sum_land]]-IF(Granger_Inventory[[#This Row],[no_utilities]]=1,12000,0))/IF(Granger_Inventory[[#This Row],[unbuildable]]=1,2,1)</f>
        <v>26250.377615159185</v>
      </c>
      <c r="BX456" s="8">
        <f>Granger_Inventory[[#This Row],[pre_res]]*Granger_Inventory[[#This Row],[overall_adj]]</f>
        <v>232011.63238548781</v>
      </c>
      <c r="BY456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56">
        <f>ROUND(Granger_Inventory[[#This Row],[detatched_value]]*Lookups!$I$45,-2)</f>
        <v>0</v>
      </c>
      <c r="CA456">
        <f>IF(ROUND(Granger_Inventory[[#This Row],[adj_res]]*Lookups!$I$45,-2)&lt;Granger_Inventory[[#This Row],[min_res]],Granger_Inventory[[#This Row],[min_res]],ROUND(Granger_Inventory[[#This Row],[adj_res]]*Lookups!$I$45,-2))</f>
        <v>220400</v>
      </c>
      <c r="CB456">
        <f>Granger_Inventory[[#This Row],[final_det]]+Granger_Inventory[[#This Row],[final_res]]</f>
        <v>220400</v>
      </c>
      <c r="CC456">
        <f>Granger_Inventory[[#This Row],[final_land]]+Granger_Inventory[[#This Row],[final_imp]]+Granger_Inventory[[#This Row],[crop_value]]</f>
        <v>245300</v>
      </c>
      <c r="CE456" t="str">
        <f t="shared" si="7"/>
        <v>update valuation set market_land =24900, market_bldg=220400, market_total =245300, market_mdno =402, market_date ='9/10/2023' where link_id = (select link_id from parcel where parcel_year = '2024' and parcel_id = '21102114552');</v>
      </c>
    </row>
    <row r="457" spans="1:83" x14ac:dyDescent="0.25">
      <c r="A457">
        <v>21102114555</v>
      </c>
      <c r="B457">
        <v>0.19</v>
      </c>
      <c r="C457" t="s">
        <v>137</v>
      </c>
      <c r="D457" t="s">
        <v>137</v>
      </c>
      <c r="E457" t="s">
        <v>54</v>
      </c>
      <c r="F457" t="s">
        <v>54</v>
      </c>
      <c r="G457">
        <v>3</v>
      </c>
      <c r="H457" t="s">
        <v>55</v>
      </c>
      <c r="I457">
        <v>123600</v>
      </c>
      <c r="J457">
        <v>25900</v>
      </c>
      <c r="K457">
        <v>0.19</v>
      </c>
      <c r="L457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57">
        <v>0</v>
      </c>
      <c r="N457">
        <v>0</v>
      </c>
      <c r="O457">
        <v>0</v>
      </c>
      <c r="P457">
        <v>47108.068500000001</v>
      </c>
      <c r="Q457">
        <v>122298</v>
      </c>
      <c r="R457">
        <f>(Granger_Inventory[[#This Row],[ln_acres]]*Granger_Inventory[[#This Row],[coeff]])+Granger_Inventory[[#This Row],[const]]</f>
        <v>44064.160548957996</v>
      </c>
      <c r="S457" t="s">
        <v>69</v>
      </c>
      <c r="T457">
        <v>1</v>
      </c>
      <c r="U457" t="s">
        <v>71</v>
      </c>
      <c r="V457" t="s">
        <v>72</v>
      </c>
      <c r="W457">
        <v>0</v>
      </c>
      <c r="X457">
        <v>0</v>
      </c>
      <c r="Y457">
        <v>46</v>
      </c>
      <c r="Z457">
        <v>53</v>
      </c>
      <c r="AA457">
        <v>60</v>
      </c>
      <c r="AB457">
        <v>1000</v>
      </c>
      <c r="AC457">
        <v>960</v>
      </c>
      <c r="AD457">
        <v>960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288</v>
      </c>
      <c r="AL457">
        <v>0</v>
      </c>
      <c r="AM457">
        <v>0</v>
      </c>
      <c r="AN457">
        <v>0</v>
      </c>
      <c r="AO457">
        <v>0</v>
      </c>
      <c r="AP457">
        <v>5</v>
      </c>
      <c r="AQ457">
        <v>0</v>
      </c>
      <c r="AR457">
        <v>0</v>
      </c>
      <c r="AS457" t="s">
        <v>59</v>
      </c>
      <c r="AT457">
        <v>1</v>
      </c>
      <c r="AU457" t="s">
        <v>60</v>
      </c>
      <c r="AV457" t="s">
        <v>61</v>
      </c>
      <c r="AW457">
        <v>0</v>
      </c>
      <c r="AX457">
        <v>2</v>
      </c>
      <c r="AY457">
        <v>0</v>
      </c>
      <c r="AZ457">
        <v>0</v>
      </c>
      <c r="BA457">
        <v>100</v>
      </c>
      <c r="BB457">
        <v>100</v>
      </c>
      <c r="BC457">
        <v>100</v>
      </c>
      <c r="BD457">
        <v>100</v>
      </c>
      <c r="BE457">
        <v>1</v>
      </c>
      <c r="BF457">
        <v>15000</v>
      </c>
      <c r="BG457">
        <v>1000</v>
      </c>
      <c r="BH457" s="8">
        <f>Granger_Inventory[[#This Row],[land_extract]]*Lookups!$B$3</f>
        <v>26250.377615159185</v>
      </c>
      <c r="BI457" s="8">
        <f>IF(Granger_Inventory[[#This Row],[bldg_style]]="",0,Lookups!$B$2)</f>
        <v>29703.559000000001</v>
      </c>
      <c r="BJ457" s="8">
        <f>_xlfn.IFNA(VLOOKUP(Granger_Inventory[[#This Row],[quality]],Lookups!$H$2:$J$14,3,FALSE),0)</f>
        <v>34195</v>
      </c>
      <c r="BK457" s="8">
        <f>_xlfn.IFNA(VLOOKUP(Granger_Inventory[[#This Row],[condition]],Lookups!$H$17:$J$24,3,FALSE),0)</f>
        <v>94106</v>
      </c>
      <c r="BL457" s="8">
        <f>Granger_Inventory[[#This Row],[Age]]*Lookups!$B$16</f>
        <v>-10988.5483</v>
      </c>
      <c r="BM457" s="8">
        <f>Granger_Inventory[[#This Row],[living_area]]*Lookups!$B$17</f>
        <v>64581.992639999997</v>
      </c>
      <c r="BN457" s="8">
        <f>(Granger_Inventory[[#This Row],[att_gar]]+Granger_Inventory[[#This Row],[blt_gar]])*Lookups!$B$18</f>
        <v>0</v>
      </c>
      <c r="BO457" s="8">
        <f>Granger_Inventory[[#This Row],[Patio]]*Lookups!$B$19</f>
        <v>0</v>
      </c>
      <c r="BP457" s="8">
        <f>SUM(Granger_Inventory[[#This Row],[Intercept]:[Patio_Value]])*Granger_Inventory[[#This Row],[res_pct]]</f>
        <v>211598.00334</v>
      </c>
      <c r="BQ457" s="8">
        <f>Granger_Inventory[[#This Row],[land_value]]</f>
        <v>26250.377615159185</v>
      </c>
      <c r="BR457" s="4">
        <f>_xlfn.IFNA(VLOOKUP(Granger_Inventory[[#This Row],[quality]],Lookups!$A$25:$C$35,3,FALSE),1)</f>
        <v>0.98258795897788032</v>
      </c>
      <c r="BS457" s="4">
        <f>_xlfn.IFNA(VLOOKUP(Granger_Inventory[[#This Row],[condition]],Lookups!$A$38:$C$45,3,FALSE),1)</f>
        <v>0.98658583151544277</v>
      </c>
      <c r="BT457" s="4">
        <f>IF(Granger_Inventory[[#This Row],[decade]]="",1,_xlfn.IFNA(VLOOKUP(Granger_Inventory[[#This Row],[decade]],Lookups!$G$28:$I$42,3,FALSE),1))</f>
        <v>0.86581421791274704</v>
      </c>
      <c r="BU457" s="4">
        <f>_xlfn.IFNA(VLOOKUP(Granger_Inventory[[#This Row],[living_area_range]],Lookups!$A$48:$C$57,3,FALSE),1)</f>
        <v>0.81272404900450645</v>
      </c>
      <c r="BV457" s="4">
        <f>AVERAGE(Granger_Inventory[[#This Row],[qual_adj]:[living_range_adj]])</f>
        <v>0.91192801435264415</v>
      </c>
      <c r="BW457" s="8">
        <f>(Granger_Inventory[[#This Row],[sum_land]]-IF(Granger_Inventory[[#This Row],[no_utilities]]=1,12000,0))/IF(Granger_Inventory[[#This Row],[unbuildable]]=1,2,1)</f>
        <v>26250.377615159185</v>
      </c>
      <c r="BX457" s="8">
        <f>Granger_Inventory[[#This Row],[pre_res]]*Granger_Inventory[[#This Row],[overall_adj]]</f>
        <v>192962.14702683035</v>
      </c>
      <c r="BY457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57">
        <f>ROUND(Granger_Inventory[[#This Row],[detatched_value]]*Lookups!$I$45,-2)</f>
        <v>0</v>
      </c>
      <c r="CA457">
        <f>IF(ROUND(Granger_Inventory[[#This Row],[adj_res]]*Lookups!$I$45,-2)&lt;Granger_Inventory[[#This Row],[min_res]],Granger_Inventory[[#This Row],[min_res]],ROUND(Granger_Inventory[[#This Row],[adj_res]]*Lookups!$I$45,-2))</f>
        <v>183300</v>
      </c>
      <c r="CB457">
        <f>Granger_Inventory[[#This Row],[final_det]]+Granger_Inventory[[#This Row],[final_res]]</f>
        <v>183300</v>
      </c>
      <c r="CC457">
        <f>Granger_Inventory[[#This Row],[final_land]]+Granger_Inventory[[#This Row],[final_imp]]+Granger_Inventory[[#This Row],[crop_value]]</f>
        <v>208200</v>
      </c>
      <c r="CE457" t="str">
        <f t="shared" si="7"/>
        <v>update valuation set market_land =24900, market_bldg=183300, market_total =208200, market_mdno =402, market_date ='9/10/2023' where link_id = (select link_id from parcel where parcel_year = '2024' and parcel_id = '21102114555');</v>
      </c>
    </row>
    <row r="458" spans="1:83" x14ac:dyDescent="0.25">
      <c r="A458">
        <v>21102114557</v>
      </c>
      <c r="B458">
        <v>0.33</v>
      </c>
      <c r="C458">
        <v>14375</v>
      </c>
      <c r="D458" t="s">
        <v>137</v>
      </c>
      <c r="E458" t="s">
        <v>54</v>
      </c>
      <c r="F458" t="s">
        <v>54</v>
      </c>
      <c r="G458">
        <v>3</v>
      </c>
      <c r="H458" t="s">
        <v>55</v>
      </c>
      <c r="I458">
        <v>254100</v>
      </c>
      <c r="J458">
        <v>29000</v>
      </c>
      <c r="K458">
        <v>0.33</v>
      </c>
      <c r="L458">
        <f>IF(Granger_Inventory[[#This Row],[parcel_acres]]-Granger_Inventory[[#This Row],[non_valued_acres]] =0,0,LN(Granger_Inventory[[#This Row],[parcel_acres]]-Granger_Inventory[[#This Row],[non_valued_acres]]))</f>
        <v>-1.1086626245216111</v>
      </c>
      <c r="M458">
        <v>0</v>
      </c>
      <c r="N458">
        <v>0</v>
      </c>
      <c r="O458">
        <v>0</v>
      </c>
      <c r="P458">
        <v>47108.068500000001</v>
      </c>
      <c r="Q458">
        <v>122298</v>
      </c>
      <c r="R458">
        <f>(Granger_Inventory[[#This Row],[ln_acres]]*Granger_Inventory[[#This Row],[coeff]])+Granger_Inventory[[#This Row],[const]]</f>
        <v>70071.045140646165</v>
      </c>
      <c r="S458" t="s">
        <v>56</v>
      </c>
      <c r="T458">
        <v>1</v>
      </c>
      <c r="U458" t="s">
        <v>57</v>
      </c>
      <c r="V458" t="s">
        <v>70</v>
      </c>
      <c r="W458">
        <v>0</v>
      </c>
      <c r="X458">
        <v>0</v>
      </c>
      <c r="Y458">
        <v>11</v>
      </c>
      <c r="Z458">
        <v>11</v>
      </c>
      <c r="AA458">
        <v>20</v>
      </c>
      <c r="AB458">
        <v>1500</v>
      </c>
      <c r="AC458">
        <v>1185</v>
      </c>
      <c r="AD458">
        <v>1185</v>
      </c>
      <c r="AE458">
        <v>0</v>
      </c>
      <c r="AF458">
        <v>0</v>
      </c>
      <c r="AG458">
        <v>0</v>
      </c>
      <c r="AH458">
        <v>0</v>
      </c>
      <c r="AI458">
        <v>462</v>
      </c>
      <c r="AJ458">
        <v>0</v>
      </c>
      <c r="AK458">
        <v>0</v>
      </c>
      <c r="AL458">
        <v>0</v>
      </c>
      <c r="AM458">
        <v>224</v>
      </c>
      <c r="AN458">
        <v>20</v>
      </c>
      <c r="AO458">
        <v>224</v>
      </c>
      <c r="AP458">
        <v>8</v>
      </c>
      <c r="AQ458">
        <v>0</v>
      </c>
      <c r="AR458">
        <v>0</v>
      </c>
      <c r="AS458" t="s">
        <v>59</v>
      </c>
      <c r="AT458">
        <v>1</v>
      </c>
      <c r="AU458" t="s">
        <v>63</v>
      </c>
      <c r="AV458" t="s">
        <v>65</v>
      </c>
      <c r="AW458">
        <v>1</v>
      </c>
      <c r="AX458">
        <v>3</v>
      </c>
      <c r="AY458">
        <v>0</v>
      </c>
      <c r="AZ458">
        <v>0</v>
      </c>
      <c r="BA458">
        <v>100</v>
      </c>
      <c r="BB458">
        <v>100</v>
      </c>
      <c r="BC458">
        <v>100</v>
      </c>
      <c r="BD458">
        <v>100</v>
      </c>
      <c r="BE458">
        <v>1</v>
      </c>
      <c r="BF458">
        <v>15000</v>
      </c>
      <c r="BG458">
        <v>1000</v>
      </c>
      <c r="BH458" s="8">
        <f>Granger_Inventory[[#This Row],[land_extract]]*Lookups!$B$3</f>
        <v>41743.479778473251</v>
      </c>
      <c r="BI458" s="8">
        <f>IF(Granger_Inventory[[#This Row],[bldg_style]]="",0,Lookups!$B$2)</f>
        <v>29703.559000000001</v>
      </c>
      <c r="BJ458" s="8">
        <f>_xlfn.IFNA(VLOOKUP(Granger_Inventory[[#This Row],[quality]],Lookups!$H$2:$J$14,3,FALSE),0)</f>
        <v>56414</v>
      </c>
      <c r="BK458" s="8">
        <f>_xlfn.IFNA(VLOOKUP(Granger_Inventory[[#This Row],[condition]],Lookups!$H$17:$J$24,3,FALSE),0)</f>
        <v>80695</v>
      </c>
      <c r="BL458" s="8">
        <f>Granger_Inventory[[#This Row],[Age]]*Lookups!$B$16</f>
        <v>-2280.6421</v>
      </c>
      <c r="BM458" s="8">
        <f>Granger_Inventory[[#This Row],[living_area]]*Lookups!$B$17</f>
        <v>79718.397165000002</v>
      </c>
      <c r="BN458" s="8">
        <f>(Granger_Inventory[[#This Row],[att_gar]]+Granger_Inventory[[#This Row],[blt_gar]])*Lookups!$B$18</f>
        <v>22382.784732</v>
      </c>
      <c r="BO458" s="8">
        <f>Granger_Inventory[[#This Row],[Patio]]*Lookups!$B$19</f>
        <v>12166.581504</v>
      </c>
      <c r="BP458" s="8">
        <f>SUM(Granger_Inventory[[#This Row],[Intercept]:[Patio_Value]])*Granger_Inventory[[#This Row],[res_pct]]</f>
        <v>278799.68030100001</v>
      </c>
      <c r="BQ458" s="8">
        <f>Granger_Inventory[[#This Row],[land_value]]</f>
        <v>41743.479778473251</v>
      </c>
      <c r="BR458" s="4">
        <f>_xlfn.IFNA(VLOOKUP(Granger_Inventory[[#This Row],[quality]],Lookups!$A$25:$C$35,3,FALSE),1)</f>
        <v>0.98791809110152173</v>
      </c>
      <c r="BS458" s="4">
        <f>_xlfn.IFNA(VLOOKUP(Granger_Inventory[[#This Row],[condition]],Lookups!$A$38:$C$45,3,FALSE),1)</f>
        <v>0.99484195314749324</v>
      </c>
      <c r="BT458" s="4">
        <f>IF(Granger_Inventory[[#This Row],[decade]]="",1,_xlfn.IFNA(VLOOKUP(Granger_Inventory[[#This Row],[decade]],Lookups!$G$28:$I$42,3,FALSE),1))</f>
        <v>1.0159161060824455</v>
      </c>
      <c r="BU458" s="4">
        <f>_xlfn.IFNA(VLOOKUP(Granger_Inventory[[#This Row],[living_area_range]],Lookups!$A$48:$C$57,3,FALSE),1)</f>
        <v>0.97960506760539345</v>
      </c>
      <c r="BV458" s="4">
        <f>AVERAGE(Granger_Inventory[[#This Row],[qual_adj]:[living_range_adj]])</f>
        <v>0.99457030448421357</v>
      </c>
      <c r="BW458" s="8">
        <f>(Granger_Inventory[[#This Row],[sum_land]]-IF(Granger_Inventory[[#This Row],[no_utilities]]=1,12000,0))/IF(Granger_Inventory[[#This Row],[unbuildable]]=1,2,1)</f>
        <v>41743.479778473251</v>
      </c>
      <c r="BX458" s="8">
        <f>Granger_Inventory[[#This Row],[pre_res]]*Granger_Inventory[[#This Row],[overall_adj]]</f>
        <v>277285.882927067</v>
      </c>
      <c r="BY458">
        <f>IF(ROUND(Granger_Inventory[[#This Row],[adj_land]]*Lookups!$I$45,-2)&lt;Granger_Inventory[[#This Row],[min_land]],Granger_Inventory[[#This Row],[min_land]],ROUND(Granger_Inventory[[#This Row],[adj_land]]*Lookups!$I$45,-2))</f>
        <v>39700</v>
      </c>
      <c r="BZ458">
        <f>ROUND(Granger_Inventory[[#This Row],[detatched_value]]*Lookups!$I$45,-2)</f>
        <v>0</v>
      </c>
      <c r="CA458">
        <f>IF(ROUND(Granger_Inventory[[#This Row],[adj_res]]*Lookups!$I$45,-2)&lt;Granger_Inventory[[#This Row],[min_res]],Granger_Inventory[[#This Row],[min_res]],ROUND(Granger_Inventory[[#This Row],[adj_res]]*Lookups!$I$45,-2))</f>
        <v>263400</v>
      </c>
      <c r="CB458">
        <f>Granger_Inventory[[#This Row],[final_det]]+Granger_Inventory[[#This Row],[final_res]]</f>
        <v>263400</v>
      </c>
      <c r="CC458">
        <f>Granger_Inventory[[#This Row],[final_land]]+Granger_Inventory[[#This Row],[final_imp]]+Granger_Inventory[[#This Row],[crop_value]]</f>
        <v>303100</v>
      </c>
      <c r="CE458" t="str">
        <f t="shared" si="7"/>
        <v>update valuation set market_land =39700, market_bldg=263400, market_total =303100, market_mdno =402, market_date ='9/10/2023' where link_id = (select link_id from parcel where parcel_year = '2024' and parcel_id = '21102114557');</v>
      </c>
    </row>
    <row r="459" spans="1:83" x14ac:dyDescent="0.25">
      <c r="A459">
        <v>21102114558</v>
      </c>
      <c r="B459">
        <v>0.4</v>
      </c>
      <c r="C459">
        <v>17424</v>
      </c>
      <c r="D459" t="s">
        <v>137</v>
      </c>
      <c r="E459" t="s">
        <v>54</v>
      </c>
      <c r="F459" t="s">
        <v>54</v>
      </c>
      <c r="G459">
        <v>3</v>
      </c>
      <c r="H459" t="s">
        <v>55</v>
      </c>
      <c r="I459">
        <v>214600</v>
      </c>
      <c r="J459">
        <v>30100</v>
      </c>
      <c r="K459">
        <v>0.4</v>
      </c>
      <c r="L459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459">
        <v>0</v>
      </c>
      <c r="N459">
        <v>0</v>
      </c>
      <c r="O459">
        <v>0</v>
      </c>
      <c r="P459">
        <v>47108.068500000001</v>
      </c>
      <c r="Q459">
        <v>122298</v>
      </c>
      <c r="R459">
        <f>(Granger_Inventory[[#This Row],[ln_acres]]*Granger_Inventory[[#This Row],[coeff]])+Granger_Inventory[[#This Row],[const]]</f>
        <v>79133.313436957164</v>
      </c>
      <c r="S459" t="s">
        <v>69</v>
      </c>
      <c r="T459">
        <v>1</v>
      </c>
      <c r="U459" t="s">
        <v>71</v>
      </c>
      <c r="V459" t="s">
        <v>72</v>
      </c>
      <c r="W459">
        <v>0</v>
      </c>
      <c r="X459">
        <v>0</v>
      </c>
      <c r="Y459">
        <v>51</v>
      </c>
      <c r="Z459">
        <v>83</v>
      </c>
      <c r="AA459">
        <v>90</v>
      </c>
      <c r="AB459">
        <v>1500</v>
      </c>
      <c r="AC459">
        <v>1248</v>
      </c>
      <c r="AD459">
        <v>1248</v>
      </c>
      <c r="AE459">
        <v>0</v>
      </c>
      <c r="AF459">
        <v>0</v>
      </c>
      <c r="AG459">
        <v>0</v>
      </c>
      <c r="AH459">
        <v>288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5</v>
      </c>
      <c r="AQ459">
        <v>0</v>
      </c>
      <c r="AR459">
        <v>0</v>
      </c>
      <c r="AS459" t="s">
        <v>59</v>
      </c>
      <c r="AT459">
        <v>1</v>
      </c>
      <c r="AU459" t="s">
        <v>76</v>
      </c>
      <c r="AV459" t="s">
        <v>65</v>
      </c>
      <c r="AW459">
        <v>0</v>
      </c>
      <c r="AX459">
        <v>3</v>
      </c>
      <c r="AY459">
        <v>0</v>
      </c>
      <c r="AZ459">
        <v>62200</v>
      </c>
      <c r="BA459">
        <v>100</v>
      </c>
      <c r="BB459">
        <v>100</v>
      </c>
      <c r="BC459">
        <v>100</v>
      </c>
      <c r="BD459">
        <v>100</v>
      </c>
      <c r="BE459">
        <v>1</v>
      </c>
      <c r="BF459">
        <v>15000</v>
      </c>
      <c r="BG459">
        <v>1000</v>
      </c>
      <c r="BH459" s="8">
        <f>Granger_Inventory[[#This Row],[land_extract]]*Lookups!$B$3</f>
        <v>47142.152120449238</v>
      </c>
      <c r="BI459" s="8">
        <f>IF(Granger_Inventory[[#This Row],[bldg_style]]="",0,Lookups!$B$2)</f>
        <v>29703.559000000001</v>
      </c>
      <c r="BJ459" s="8">
        <f>_xlfn.IFNA(VLOOKUP(Granger_Inventory[[#This Row],[quality]],Lookups!$H$2:$J$14,3,FALSE),0)</f>
        <v>34195</v>
      </c>
      <c r="BK459" s="8">
        <f>_xlfn.IFNA(VLOOKUP(Granger_Inventory[[#This Row],[condition]],Lookups!$H$17:$J$24,3,FALSE),0)</f>
        <v>94106</v>
      </c>
      <c r="BL459" s="8">
        <f>Granger_Inventory[[#This Row],[Age]]*Lookups!$B$16</f>
        <v>-17208.481299999999</v>
      </c>
      <c r="BM459" s="8">
        <f>Granger_Inventory[[#This Row],[living_area]]*Lookups!$B$17</f>
        <v>83956.590431999997</v>
      </c>
      <c r="BN459" s="8">
        <f>(Granger_Inventory[[#This Row],[att_gar]]+Granger_Inventory[[#This Row],[blt_gar]])*Lookups!$B$18</f>
        <v>0</v>
      </c>
      <c r="BO459" s="8">
        <f>Granger_Inventory[[#This Row],[Patio]]*Lookups!$B$19</f>
        <v>0</v>
      </c>
      <c r="BP459" s="8">
        <f>SUM(Granger_Inventory[[#This Row],[Intercept]:[Patio_Value]])*Granger_Inventory[[#This Row],[res_pct]]</f>
        <v>224752.66813200002</v>
      </c>
      <c r="BQ459" s="8">
        <f>Granger_Inventory[[#This Row],[land_value]]</f>
        <v>47142.152120449238</v>
      </c>
      <c r="BR459" s="4">
        <f>_xlfn.IFNA(VLOOKUP(Granger_Inventory[[#This Row],[quality]],Lookups!$A$25:$C$35,3,FALSE),1)</f>
        <v>0.98258795897788032</v>
      </c>
      <c r="BS459" s="4">
        <f>_xlfn.IFNA(VLOOKUP(Granger_Inventory[[#This Row],[condition]],Lookups!$A$38:$C$45,3,FALSE),1)</f>
        <v>0.98658583151544277</v>
      </c>
      <c r="BT459" s="4">
        <f>IF(Granger_Inventory[[#This Row],[decade]]="",1,_xlfn.IFNA(VLOOKUP(Granger_Inventory[[#This Row],[decade]],Lookups!$G$28:$I$42,3,FALSE),1))</f>
        <v>0.95234610137492615</v>
      </c>
      <c r="BU459" s="4">
        <f>_xlfn.IFNA(VLOOKUP(Granger_Inventory[[#This Row],[living_area_range]],Lookups!$A$48:$C$57,3,FALSE),1)</f>
        <v>0.97960506760539345</v>
      </c>
      <c r="BV459" s="4">
        <f>AVERAGE(Granger_Inventory[[#This Row],[qual_adj]:[living_range_adj]])</f>
        <v>0.97528123986841075</v>
      </c>
      <c r="BW459" s="8">
        <f>(Granger_Inventory[[#This Row],[sum_land]]-IF(Granger_Inventory[[#This Row],[no_utilities]]=1,12000,0))/IF(Granger_Inventory[[#This Row],[unbuildable]]=1,2,1)</f>
        <v>47142.152120449238</v>
      </c>
      <c r="BX459" s="8">
        <f>Granger_Inventory[[#This Row],[pre_res]]*Granger_Inventory[[#This Row],[overall_adj]]</f>
        <v>219197.06083951044</v>
      </c>
      <c r="BY459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459">
        <f>ROUND(Granger_Inventory[[#This Row],[detatched_value]]*Lookups!$I$45,-2)</f>
        <v>59100</v>
      </c>
      <c r="CA459">
        <f>IF(ROUND(Granger_Inventory[[#This Row],[adj_res]]*Lookups!$I$45,-2)&lt;Granger_Inventory[[#This Row],[min_res]],Granger_Inventory[[#This Row],[min_res]],ROUND(Granger_Inventory[[#This Row],[adj_res]]*Lookups!$I$45,-2))</f>
        <v>208200</v>
      </c>
      <c r="CB459">
        <f>Granger_Inventory[[#This Row],[final_det]]+Granger_Inventory[[#This Row],[final_res]]</f>
        <v>267300</v>
      </c>
      <c r="CC459">
        <f>Granger_Inventory[[#This Row],[final_land]]+Granger_Inventory[[#This Row],[final_imp]]+Granger_Inventory[[#This Row],[crop_value]]</f>
        <v>312100</v>
      </c>
      <c r="CE459" t="str">
        <f t="shared" si="7"/>
        <v>update valuation set market_land =44800, market_bldg=267300, market_total =312100, market_mdno =402, market_date ='9/10/2023' where link_id = (select link_id from parcel where parcel_year = '2024' and parcel_id = '21102114558');</v>
      </c>
    </row>
    <row r="460" spans="1:83" x14ac:dyDescent="0.25">
      <c r="A460">
        <v>21102114559</v>
      </c>
      <c r="B460">
        <v>0.26</v>
      </c>
      <c r="C460">
        <v>11326</v>
      </c>
      <c r="D460" t="s">
        <v>137</v>
      </c>
      <c r="E460" t="s">
        <v>54</v>
      </c>
      <c r="F460" t="s">
        <v>54</v>
      </c>
      <c r="G460">
        <v>3</v>
      </c>
      <c r="H460" t="s">
        <v>55</v>
      </c>
      <c r="I460">
        <v>92500</v>
      </c>
      <c r="J460">
        <v>27700</v>
      </c>
      <c r="K460">
        <v>0.26</v>
      </c>
      <c r="L460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460">
        <v>0</v>
      </c>
      <c r="N460">
        <v>0</v>
      </c>
      <c r="O460">
        <v>0</v>
      </c>
      <c r="P460">
        <v>47108.068500000001</v>
      </c>
      <c r="Q460">
        <v>122298</v>
      </c>
      <c r="R460">
        <f>(Granger_Inventory[[#This Row],[ln_acres]]*Granger_Inventory[[#This Row],[coeff]])+Granger_Inventory[[#This Row],[const]]</f>
        <v>58839.962317044083</v>
      </c>
      <c r="S460" t="s">
        <v>69</v>
      </c>
      <c r="T460">
        <v>1</v>
      </c>
      <c r="U460" t="s">
        <v>78</v>
      </c>
      <c r="V460" t="s">
        <v>72</v>
      </c>
      <c r="W460">
        <v>0</v>
      </c>
      <c r="X460">
        <v>0</v>
      </c>
      <c r="Y460">
        <v>55</v>
      </c>
      <c r="Z460">
        <v>98</v>
      </c>
      <c r="AA460">
        <v>100</v>
      </c>
      <c r="AB460">
        <v>1000</v>
      </c>
      <c r="AC460">
        <v>832</v>
      </c>
      <c r="AD460">
        <v>832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600</v>
      </c>
      <c r="AL460">
        <v>0</v>
      </c>
      <c r="AM460">
        <v>270</v>
      </c>
      <c r="AN460">
        <v>0</v>
      </c>
      <c r="AO460">
        <v>270</v>
      </c>
      <c r="AP460">
        <v>5</v>
      </c>
      <c r="AQ460">
        <v>0</v>
      </c>
      <c r="AR460">
        <v>0</v>
      </c>
      <c r="AS460" t="s">
        <v>59</v>
      </c>
      <c r="AT460">
        <v>0</v>
      </c>
      <c r="AU460" t="s">
        <v>83</v>
      </c>
      <c r="AV460" t="s">
        <v>61</v>
      </c>
      <c r="AW460">
        <v>0</v>
      </c>
      <c r="AX460">
        <v>2</v>
      </c>
      <c r="AY460">
        <v>0</v>
      </c>
      <c r="AZ460">
        <v>0</v>
      </c>
      <c r="BA460">
        <v>100</v>
      </c>
      <c r="BB460">
        <v>100</v>
      </c>
      <c r="BC460">
        <v>100</v>
      </c>
      <c r="BD460">
        <v>100</v>
      </c>
      <c r="BE460">
        <v>1</v>
      </c>
      <c r="BF460">
        <v>15000</v>
      </c>
      <c r="BG460">
        <v>1000</v>
      </c>
      <c r="BH460" s="8">
        <f>Granger_Inventory[[#This Row],[land_extract]]*Lookups!$B$3</f>
        <v>35052.777823102522</v>
      </c>
      <c r="BI460" s="8">
        <f>IF(Granger_Inventory[[#This Row],[bldg_style]]="",0,Lookups!$B$2)</f>
        <v>29703.559000000001</v>
      </c>
      <c r="BJ460" s="8">
        <f>_xlfn.IFNA(VLOOKUP(Granger_Inventory[[#This Row],[quality]],Lookups!$H$2:$J$14,3,FALSE),0)</f>
        <v>23737.786340274597</v>
      </c>
      <c r="BK460" s="8">
        <f>_xlfn.IFNA(VLOOKUP(Granger_Inventory[[#This Row],[condition]],Lookups!$H$17:$J$24,3,FALSE),0)</f>
        <v>94106</v>
      </c>
      <c r="BL460" s="8">
        <f>Granger_Inventory[[#This Row],[Age]]*Lookups!$B$16</f>
        <v>-20318.447799999998</v>
      </c>
      <c r="BM460" s="8">
        <f>Granger_Inventory[[#This Row],[living_area]]*Lookups!$B$17</f>
        <v>55971.060288000001</v>
      </c>
      <c r="BN460" s="8">
        <f>(Granger_Inventory[[#This Row],[att_gar]]+Granger_Inventory[[#This Row],[blt_gar]])*Lookups!$B$18</f>
        <v>0</v>
      </c>
      <c r="BO460" s="8">
        <f>Granger_Inventory[[#This Row],[Patio]]*Lookups!$B$19</f>
        <v>14665.075919999999</v>
      </c>
      <c r="BP460" s="8">
        <f>SUM(Granger_Inventory[[#This Row],[Intercept]:[Patio_Value]])*Granger_Inventory[[#This Row],[res_pct]]</f>
        <v>197865.03374827461</v>
      </c>
      <c r="BQ460" s="8">
        <f>Granger_Inventory[[#This Row],[land_value]]</f>
        <v>35052.777823102522</v>
      </c>
      <c r="BR460" s="4">
        <f>_xlfn.IFNA(VLOOKUP(Granger_Inventory[[#This Row],[quality]],Lookups!$A$25:$C$35,3,FALSE),1)</f>
        <v>0.77695375541795109</v>
      </c>
      <c r="BS460" s="4">
        <f>_xlfn.IFNA(VLOOKUP(Granger_Inventory[[#This Row],[condition]],Lookups!$A$38:$C$45,3,FALSE),1)</f>
        <v>0.98658583151544277</v>
      </c>
      <c r="BT460" s="4">
        <f>IF(Granger_Inventory[[#This Row],[decade]]="",1,_xlfn.IFNA(VLOOKUP(Granger_Inventory[[#This Row],[decade]],Lookups!$G$28:$I$42,3,FALSE),1))</f>
        <v>0.879441629375324</v>
      </c>
      <c r="BU460" s="4">
        <f>_xlfn.IFNA(VLOOKUP(Granger_Inventory[[#This Row],[living_area_range]],Lookups!$A$48:$C$57,3,FALSE),1)</f>
        <v>0.81272404900450645</v>
      </c>
      <c r="BV460" s="4">
        <f>AVERAGE(Granger_Inventory[[#This Row],[qual_adj]:[living_range_adj]])</f>
        <v>0.86392631632830608</v>
      </c>
      <c r="BW460" s="8">
        <f>(Granger_Inventory[[#This Row],[sum_land]]-IF(Granger_Inventory[[#This Row],[no_utilities]]=1,12000,0))/IF(Granger_Inventory[[#This Row],[unbuildable]]=1,2,1)</f>
        <v>35052.777823102522</v>
      </c>
      <c r="BX460" s="8">
        <f>Granger_Inventory[[#This Row],[pre_res]]*Granger_Inventory[[#This Row],[overall_adj]]</f>
        <v>170940.80973632284</v>
      </c>
      <c r="BY460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460">
        <f>ROUND(Granger_Inventory[[#This Row],[detatched_value]]*Lookups!$I$45,-2)</f>
        <v>0</v>
      </c>
      <c r="CA460">
        <f>IF(ROUND(Granger_Inventory[[#This Row],[adj_res]]*Lookups!$I$45,-2)&lt;Granger_Inventory[[#This Row],[min_res]],Granger_Inventory[[#This Row],[min_res]],ROUND(Granger_Inventory[[#This Row],[adj_res]]*Lookups!$I$45,-2))</f>
        <v>162400</v>
      </c>
      <c r="CB460">
        <f>Granger_Inventory[[#This Row],[final_det]]+Granger_Inventory[[#This Row],[final_res]]</f>
        <v>162400</v>
      </c>
      <c r="CC460">
        <f>Granger_Inventory[[#This Row],[final_land]]+Granger_Inventory[[#This Row],[final_imp]]+Granger_Inventory[[#This Row],[crop_value]]</f>
        <v>195700</v>
      </c>
      <c r="CE460" t="str">
        <f t="shared" si="7"/>
        <v>update valuation set market_land =33300, market_bldg=162400, market_total =195700, market_mdno =402, market_date ='9/10/2023' where link_id = (select link_id from parcel where parcel_year = '2024' and parcel_id = '21102114559');</v>
      </c>
    </row>
    <row r="461" spans="1:83" x14ac:dyDescent="0.25">
      <c r="A461">
        <v>21102114560</v>
      </c>
      <c r="B461" t="s">
        <v>137</v>
      </c>
      <c r="C461">
        <v>13020</v>
      </c>
      <c r="D461" t="s">
        <v>137</v>
      </c>
      <c r="E461" t="s">
        <v>54</v>
      </c>
      <c r="F461" t="s">
        <v>54</v>
      </c>
      <c r="G461">
        <v>3</v>
      </c>
      <c r="H461" t="s">
        <v>55</v>
      </c>
      <c r="I461">
        <v>328700</v>
      </c>
      <c r="J461">
        <v>28400</v>
      </c>
      <c r="K461">
        <v>0.3</v>
      </c>
      <c r="L461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461">
        <v>0</v>
      </c>
      <c r="N461">
        <v>0</v>
      </c>
      <c r="O461">
        <v>0</v>
      </c>
      <c r="P461">
        <v>47108.068500000001</v>
      </c>
      <c r="Q461">
        <v>122298</v>
      </c>
      <c r="R461">
        <f>(Granger_Inventory[[#This Row],[ln_acres]]*Granger_Inventory[[#This Row],[coeff]])+Granger_Inventory[[#This Row],[const]]</f>
        <v>65581.166661676703</v>
      </c>
      <c r="S461" t="s">
        <v>62</v>
      </c>
      <c r="T461">
        <v>1</v>
      </c>
      <c r="U461" t="s">
        <v>61</v>
      </c>
      <c r="V461" t="s">
        <v>58</v>
      </c>
      <c r="W461">
        <v>0</v>
      </c>
      <c r="X461">
        <v>0</v>
      </c>
      <c r="Y461">
        <v>2</v>
      </c>
      <c r="Z461">
        <v>2</v>
      </c>
      <c r="AA461">
        <v>10</v>
      </c>
      <c r="AB461">
        <v>2000</v>
      </c>
      <c r="AC461">
        <v>1680</v>
      </c>
      <c r="AD461">
        <v>1680</v>
      </c>
      <c r="AE461">
        <v>0</v>
      </c>
      <c r="AF461">
        <v>0</v>
      </c>
      <c r="AG461">
        <v>0</v>
      </c>
      <c r="AH461">
        <v>0</v>
      </c>
      <c r="AI461">
        <v>700</v>
      </c>
      <c r="AJ461">
        <v>0</v>
      </c>
      <c r="AK461">
        <v>0</v>
      </c>
      <c r="AL461">
        <v>0</v>
      </c>
      <c r="AM461">
        <v>0</v>
      </c>
      <c r="AN461">
        <v>400</v>
      </c>
      <c r="AO461">
        <v>0</v>
      </c>
      <c r="AP461">
        <v>10</v>
      </c>
      <c r="AQ461">
        <v>0</v>
      </c>
      <c r="AR461">
        <v>0</v>
      </c>
      <c r="AS461" t="s">
        <v>59</v>
      </c>
      <c r="AT461">
        <v>1</v>
      </c>
      <c r="AU461" t="s">
        <v>63</v>
      </c>
      <c r="AV461" t="s">
        <v>65</v>
      </c>
      <c r="AW461">
        <v>1</v>
      </c>
      <c r="AX461">
        <v>3</v>
      </c>
      <c r="AY461">
        <v>0</v>
      </c>
      <c r="AZ461">
        <v>0</v>
      </c>
      <c r="BA461">
        <v>100</v>
      </c>
      <c r="BB461">
        <v>100</v>
      </c>
      <c r="BC461">
        <v>100</v>
      </c>
      <c r="BD461">
        <v>100</v>
      </c>
      <c r="BE461">
        <v>1</v>
      </c>
      <c r="BF461">
        <v>15000</v>
      </c>
      <c r="BG461">
        <v>1000</v>
      </c>
      <c r="BH461" s="8">
        <f>Granger_Inventory[[#This Row],[land_extract]]*Lookups!$B$3</f>
        <v>39068.720880293993</v>
      </c>
      <c r="BI461" s="8">
        <f>IF(Granger_Inventory[[#This Row],[bldg_style]]="",0,Lookups!$B$2)</f>
        <v>29703.559000000001</v>
      </c>
      <c r="BJ461" s="8">
        <f>_xlfn.IFNA(VLOOKUP(Granger_Inventory[[#This Row],[quality]],Lookups!$H$2:$J$14,3,FALSE),0)</f>
        <v>71767</v>
      </c>
      <c r="BK461" s="8">
        <f>_xlfn.IFNA(VLOOKUP(Granger_Inventory[[#This Row],[condition]],Lookups!$H$17:$J$24,3,FALSE),0)</f>
        <v>101774</v>
      </c>
      <c r="BL461" s="8">
        <f>Granger_Inventory[[#This Row],[Age]]*Lookups!$B$16</f>
        <v>-414.66219999999998</v>
      </c>
      <c r="BM461" s="8">
        <f>Granger_Inventory[[#This Row],[living_area]]*Lookups!$B$17</f>
        <v>113018.48711999999</v>
      </c>
      <c r="BN461" s="8">
        <f>(Granger_Inventory[[#This Row],[att_gar]]+Granger_Inventory[[#This Row],[blt_gar]])*Lookups!$B$18</f>
        <v>33913.3102</v>
      </c>
      <c r="BO461" s="8">
        <f>Granger_Inventory[[#This Row],[Patio]]*Lookups!$B$19</f>
        <v>0</v>
      </c>
      <c r="BP461" s="8">
        <f>SUM(Granger_Inventory[[#This Row],[Intercept]:[Patio_Value]])*Granger_Inventory[[#This Row],[res_pct]]</f>
        <v>349761.69412</v>
      </c>
      <c r="BQ461" s="8">
        <f>Granger_Inventory[[#This Row],[land_value]]</f>
        <v>39068.720880293993</v>
      </c>
      <c r="BR461" s="4">
        <f>_xlfn.IFNA(VLOOKUP(Granger_Inventory[[#This Row],[quality]],Lookups!$A$25:$C$35,3,FALSE),1)</f>
        <v>0.992092799099482</v>
      </c>
      <c r="BS461" s="4">
        <f>_xlfn.IFNA(VLOOKUP(Granger_Inventory[[#This Row],[condition]],Lookups!$A$38:$C$45,3,FALSE),1)</f>
        <v>0.99135053432734199</v>
      </c>
      <c r="BT461" s="4">
        <f>IF(Granger_Inventory[[#This Row],[decade]]="",1,_xlfn.IFNA(VLOOKUP(Granger_Inventory[[#This Row],[decade]],Lookups!$G$28:$I$42,3,FALSE),1))</f>
        <v>0.95532362136731586</v>
      </c>
      <c r="BU461" s="4">
        <f>_xlfn.IFNA(VLOOKUP(Granger_Inventory[[#This Row],[living_area_range]],Lookups!$A$48:$C$57,3,FALSE),1)</f>
        <v>0.97860968051050168</v>
      </c>
      <c r="BV461" s="4">
        <f>AVERAGE(Granger_Inventory[[#This Row],[qual_adj]:[living_range_adj]])</f>
        <v>0.97934415882616044</v>
      </c>
      <c r="BW461" s="8">
        <f>(Granger_Inventory[[#This Row],[sum_land]]-IF(Granger_Inventory[[#This Row],[no_utilities]]=1,12000,0))/IF(Granger_Inventory[[#This Row],[unbuildable]]=1,2,1)</f>
        <v>39068.720880293993</v>
      </c>
      <c r="BX461" s="8">
        <f>Granger_Inventory[[#This Row],[pre_res]]*Granger_Inventory[[#This Row],[overall_adj]]</f>
        <v>342537.07211756421</v>
      </c>
      <c r="BY461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461">
        <f>ROUND(Granger_Inventory[[#This Row],[detatched_value]]*Lookups!$I$45,-2)</f>
        <v>0</v>
      </c>
      <c r="CA461">
        <f>IF(ROUND(Granger_Inventory[[#This Row],[adj_res]]*Lookups!$I$45,-2)&lt;Granger_Inventory[[#This Row],[min_res]],Granger_Inventory[[#This Row],[min_res]],ROUND(Granger_Inventory[[#This Row],[adj_res]]*Lookups!$I$45,-2))</f>
        <v>325400</v>
      </c>
      <c r="CB461">
        <f>Granger_Inventory[[#This Row],[final_det]]+Granger_Inventory[[#This Row],[final_res]]</f>
        <v>325400</v>
      </c>
      <c r="CC461">
        <f>Granger_Inventory[[#This Row],[final_land]]+Granger_Inventory[[#This Row],[final_imp]]+Granger_Inventory[[#This Row],[crop_value]]</f>
        <v>362500</v>
      </c>
      <c r="CE461" t="str">
        <f t="shared" si="7"/>
        <v>update valuation set market_land =37100, market_bldg=325400, market_total =362500, market_mdno =402, market_date ='9/10/2023' where link_id = (select link_id from parcel where parcel_year = '2024' and parcel_id = '21102114560');</v>
      </c>
    </row>
    <row r="462" spans="1:83" x14ac:dyDescent="0.25">
      <c r="A462">
        <v>21102114561</v>
      </c>
      <c r="B462" t="s">
        <v>137</v>
      </c>
      <c r="C462">
        <v>13300</v>
      </c>
      <c r="D462" t="s">
        <v>137</v>
      </c>
      <c r="E462" t="s">
        <v>54</v>
      </c>
      <c r="F462" t="s">
        <v>54</v>
      </c>
      <c r="G462">
        <v>3</v>
      </c>
      <c r="H462" t="s">
        <v>55</v>
      </c>
      <c r="I462">
        <v>124200</v>
      </c>
      <c r="J462">
        <v>28500</v>
      </c>
      <c r="K462">
        <v>0.31</v>
      </c>
      <c r="L462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462">
        <v>0</v>
      </c>
      <c r="N462">
        <v>0</v>
      </c>
      <c r="O462">
        <v>0</v>
      </c>
      <c r="P462">
        <v>47108.068500000001</v>
      </c>
      <c r="Q462">
        <v>122298</v>
      </c>
      <c r="R462">
        <f>(Granger_Inventory[[#This Row],[ln_acres]]*Granger_Inventory[[#This Row],[coeff]])+Granger_Inventory[[#This Row],[const]]</f>
        <v>67125.831881325023</v>
      </c>
      <c r="S462" t="s">
        <v>56</v>
      </c>
      <c r="T462">
        <v>1</v>
      </c>
      <c r="U462" t="s">
        <v>71</v>
      </c>
      <c r="V462" t="s">
        <v>77</v>
      </c>
      <c r="W462">
        <v>0</v>
      </c>
      <c r="X462">
        <v>0</v>
      </c>
      <c r="Y462">
        <v>52</v>
      </c>
      <c r="Z462">
        <v>88</v>
      </c>
      <c r="AA462">
        <v>90</v>
      </c>
      <c r="AB462">
        <v>2000</v>
      </c>
      <c r="AC462">
        <v>1537</v>
      </c>
      <c r="AD462">
        <v>1537</v>
      </c>
      <c r="AE462">
        <v>0</v>
      </c>
      <c r="AF462">
        <v>0</v>
      </c>
      <c r="AG462">
        <v>0</v>
      </c>
      <c r="AH462">
        <v>1102</v>
      </c>
      <c r="AI462">
        <v>0</v>
      </c>
      <c r="AJ462">
        <v>0</v>
      </c>
      <c r="AK462">
        <v>0</v>
      </c>
      <c r="AL462">
        <v>520</v>
      </c>
      <c r="AM462">
        <v>0</v>
      </c>
      <c r="AN462">
        <v>140</v>
      </c>
      <c r="AO462">
        <v>0</v>
      </c>
      <c r="AP462">
        <v>5</v>
      </c>
      <c r="AQ462">
        <v>0</v>
      </c>
      <c r="AR462">
        <v>1</v>
      </c>
      <c r="AS462" t="s">
        <v>59</v>
      </c>
      <c r="AT462">
        <v>1</v>
      </c>
      <c r="AU462" t="s">
        <v>60</v>
      </c>
      <c r="AV462" t="s">
        <v>65</v>
      </c>
      <c r="AW462">
        <v>0</v>
      </c>
      <c r="AX462">
        <v>3</v>
      </c>
      <c r="AY462">
        <v>0</v>
      </c>
      <c r="AZ462">
        <v>0</v>
      </c>
      <c r="BA462">
        <v>100</v>
      </c>
      <c r="BB462">
        <v>100</v>
      </c>
      <c r="BC462">
        <v>100</v>
      </c>
      <c r="BD462">
        <v>100</v>
      </c>
      <c r="BE462">
        <v>1</v>
      </c>
      <c r="BF462">
        <v>15000</v>
      </c>
      <c r="BG462">
        <v>1000</v>
      </c>
      <c r="BH462" s="8">
        <f>Granger_Inventory[[#This Row],[land_extract]]*Lookups!$B$3</f>
        <v>39988.925527327257</v>
      </c>
      <c r="BI462" s="8">
        <f>IF(Granger_Inventory[[#This Row],[bldg_style]]="",0,Lookups!$B$2)</f>
        <v>29703.559000000001</v>
      </c>
      <c r="BJ462" s="8">
        <f>_xlfn.IFNA(VLOOKUP(Granger_Inventory[[#This Row],[quality]],Lookups!$H$2:$J$14,3,FALSE),0)</f>
        <v>34195</v>
      </c>
      <c r="BK462" s="8">
        <f>_xlfn.IFNA(VLOOKUP(Granger_Inventory[[#This Row],[condition]],Lookups!$H$17:$J$24,3,FALSE),0)</f>
        <v>33736</v>
      </c>
      <c r="BL462" s="8">
        <f>Granger_Inventory[[#This Row],[Age]]*Lookups!$B$16</f>
        <v>-18245.1368</v>
      </c>
      <c r="BM462" s="8">
        <f>Granger_Inventory[[#This Row],[living_area]]*Lookups!$B$17</f>
        <v>103398.461133</v>
      </c>
      <c r="BN462" s="8">
        <f>(Granger_Inventory[[#This Row],[att_gar]]+Granger_Inventory[[#This Row],[blt_gar]])*Lookups!$B$18</f>
        <v>0</v>
      </c>
      <c r="BO462" s="8">
        <f>Granger_Inventory[[#This Row],[Patio]]*Lookups!$B$19</f>
        <v>0</v>
      </c>
      <c r="BP462" s="8">
        <f>SUM(Granger_Inventory[[#This Row],[Intercept]:[Patio_Value]])*Granger_Inventory[[#This Row],[res_pct]]</f>
        <v>182787.88333300001</v>
      </c>
      <c r="BQ462" s="8">
        <f>Granger_Inventory[[#This Row],[land_value]]</f>
        <v>39988.925527327257</v>
      </c>
      <c r="BR462" s="4">
        <f>_xlfn.IFNA(VLOOKUP(Granger_Inventory[[#This Row],[quality]],Lookups!$A$25:$C$35,3,FALSE),1)</f>
        <v>0.98258795897788032</v>
      </c>
      <c r="BS462" s="4">
        <f>_xlfn.IFNA(VLOOKUP(Granger_Inventory[[#This Row],[condition]],Lookups!$A$38:$C$45,3,FALSE),1)</f>
        <v>0.92294678898076177</v>
      </c>
      <c r="BT462" s="4">
        <f>IF(Granger_Inventory[[#This Row],[decade]]="",1,_xlfn.IFNA(VLOOKUP(Granger_Inventory[[#This Row],[decade]],Lookups!$G$28:$I$42,3,FALSE),1))</f>
        <v>0.95234610137492615</v>
      </c>
      <c r="BU462" s="4">
        <f>_xlfn.IFNA(VLOOKUP(Granger_Inventory[[#This Row],[living_area_range]],Lookups!$A$48:$C$57,3,FALSE),1)</f>
        <v>0.97860968051050168</v>
      </c>
      <c r="BV462" s="4">
        <f>AVERAGE(Granger_Inventory[[#This Row],[qual_adj]:[living_range_adj]])</f>
        <v>0.95912263246101748</v>
      </c>
      <c r="BW462" s="8">
        <f>(Granger_Inventory[[#This Row],[sum_land]]-IF(Granger_Inventory[[#This Row],[no_utilities]]=1,12000,0))/IF(Granger_Inventory[[#This Row],[unbuildable]]=1,2,1)</f>
        <v>39988.925527327257</v>
      </c>
      <c r="BX462" s="8">
        <f>Granger_Inventory[[#This Row],[pre_res]]*Granger_Inventory[[#This Row],[overall_adj]]</f>
        <v>175315.99584432429</v>
      </c>
      <c r="BY462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462">
        <f>ROUND(Granger_Inventory[[#This Row],[detatched_value]]*Lookups!$I$45,-2)</f>
        <v>0</v>
      </c>
      <c r="CA462">
        <f>IF(ROUND(Granger_Inventory[[#This Row],[adj_res]]*Lookups!$I$45,-2)&lt;Granger_Inventory[[#This Row],[min_res]],Granger_Inventory[[#This Row],[min_res]],ROUND(Granger_Inventory[[#This Row],[adj_res]]*Lookups!$I$45,-2))</f>
        <v>166600</v>
      </c>
      <c r="CB462">
        <f>Granger_Inventory[[#This Row],[final_det]]+Granger_Inventory[[#This Row],[final_res]]</f>
        <v>166600</v>
      </c>
      <c r="CC462">
        <f>Granger_Inventory[[#This Row],[final_land]]+Granger_Inventory[[#This Row],[final_imp]]+Granger_Inventory[[#This Row],[crop_value]]</f>
        <v>204600</v>
      </c>
      <c r="CE462" t="str">
        <f t="shared" si="7"/>
        <v>update valuation set market_land =38000, market_bldg=166600, market_total =204600, market_mdno =402, market_date ='9/10/2023' where link_id = (select link_id from parcel where parcel_year = '2024' and parcel_id = '21102114561');</v>
      </c>
    </row>
    <row r="463" spans="1:83" x14ac:dyDescent="0.25">
      <c r="A463">
        <v>21102121414</v>
      </c>
      <c r="B463">
        <v>0.41</v>
      </c>
      <c r="C463">
        <v>17796</v>
      </c>
      <c r="D463" t="s">
        <v>137</v>
      </c>
      <c r="E463" t="s">
        <v>54</v>
      </c>
      <c r="F463" t="s">
        <v>54</v>
      </c>
      <c r="G463">
        <v>3</v>
      </c>
      <c r="H463" t="s">
        <v>55</v>
      </c>
      <c r="I463">
        <v>157100</v>
      </c>
      <c r="J463">
        <v>32300</v>
      </c>
      <c r="K463">
        <v>0.41</v>
      </c>
      <c r="L463">
        <f>IF(Granger_Inventory[[#This Row],[parcel_acres]]-Granger_Inventory[[#This Row],[non_valued_acres]] =0,0,LN(Granger_Inventory[[#This Row],[parcel_acres]]-Granger_Inventory[[#This Row],[non_valued_acres]]))</f>
        <v>-0.89159811928378363</v>
      </c>
      <c r="M463">
        <v>0</v>
      </c>
      <c r="N463">
        <v>0</v>
      </c>
      <c r="O463">
        <v>0</v>
      </c>
      <c r="P463">
        <v>47108.068500000001</v>
      </c>
      <c r="Q463">
        <v>122298</v>
      </c>
      <c r="R463">
        <f>(Granger_Inventory[[#This Row],[ln_acres]]*Granger_Inventory[[#This Row],[coeff]])+Granger_Inventory[[#This Row],[const]]</f>
        <v>80296.534722308352</v>
      </c>
      <c r="S463" t="s">
        <v>56</v>
      </c>
      <c r="T463">
        <v>1</v>
      </c>
      <c r="U463" t="s">
        <v>71</v>
      </c>
      <c r="V463" t="s">
        <v>77</v>
      </c>
      <c r="W463">
        <v>0</v>
      </c>
      <c r="X463">
        <v>0</v>
      </c>
      <c r="Y463">
        <v>46</v>
      </c>
      <c r="Z463">
        <v>53</v>
      </c>
      <c r="AA463">
        <v>60</v>
      </c>
      <c r="AB463">
        <v>2000</v>
      </c>
      <c r="AC463">
        <v>1800</v>
      </c>
      <c r="AD463">
        <v>1800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450</v>
      </c>
      <c r="AN463">
        <v>144</v>
      </c>
      <c r="AO463">
        <v>450</v>
      </c>
      <c r="AP463">
        <v>5</v>
      </c>
      <c r="AQ463">
        <v>0</v>
      </c>
      <c r="AR463">
        <v>0</v>
      </c>
      <c r="AS463" t="s">
        <v>59</v>
      </c>
      <c r="AT463">
        <v>1</v>
      </c>
      <c r="AU463" t="s">
        <v>68</v>
      </c>
      <c r="AV463" t="s">
        <v>65</v>
      </c>
      <c r="AW463">
        <v>0</v>
      </c>
      <c r="AX463">
        <v>3</v>
      </c>
      <c r="AY463">
        <v>0</v>
      </c>
      <c r="AZ463">
        <v>3300</v>
      </c>
      <c r="BA463">
        <v>100</v>
      </c>
      <c r="BB463">
        <v>100</v>
      </c>
      <c r="BC463">
        <v>100</v>
      </c>
      <c r="BD463">
        <v>100</v>
      </c>
      <c r="BE463">
        <v>1</v>
      </c>
      <c r="BF463">
        <v>15000</v>
      </c>
      <c r="BG463">
        <v>1000</v>
      </c>
      <c r="BH463" s="8">
        <f>Granger_Inventory[[#This Row],[land_extract]]*Lookups!$B$3</f>
        <v>47835.11886734853</v>
      </c>
      <c r="BI463" s="8">
        <f>IF(Granger_Inventory[[#This Row],[bldg_style]]="",0,Lookups!$B$2)</f>
        <v>29703.559000000001</v>
      </c>
      <c r="BJ463" s="8">
        <f>_xlfn.IFNA(VLOOKUP(Granger_Inventory[[#This Row],[quality]],Lookups!$H$2:$J$14,3,FALSE),0)</f>
        <v>34195</v>
      </c>
      <c r="BK463" s="8">
        <f>_xlfn.IFNA(VLOOKUP(Granger_Inventory[[#This Row],[condition]],Lookups!$H$17:$J$24,3,FALSE),0)</f>
        <v>33736</v>
      </c>
      <c r="BL463" s="8">
        <f>Granger_Inventory[[#This Row],[Age]]*Lookups!$B$16</f>
        <v>-10988.5483</v>
      </c>
      <c r="BM463" s="8">
        <f>Granger_Inventory[[#This Row],[living_area]]*Lookups!$B$17</f>
        <v>121091.2362</v>
      </c>
      <c r="BN463" s="8">
        <f>(Granger_Inventory[[#This Row],[att_gar]]+Granger_Inventory[[#This Row],[blt_gar]])*Lookups!$B$18</f>
        <v>0</v>
      </c>
      <c r="BO463" s="8">
        <f>Granger_Inventory[[#This Row],[Patio]]*Lookups!$B$19</f>
        <v>24441.7932</v>
      </c>
      <c r="BP463" s="8">
        <f>SUM(Granger_Inventory[[#This Row],[Intercept]:[Patio_Value]])*Granger_Inventory[[#This Row],[res_pct]]</f>
        <v>232179.04010000004</v>
      </c>
      <c r="BQ463" s="8">
        <f>Granger_Inventory[[#This Row],[land_value]]</f>
        <v>47835.11886734853</v>
      </c>
      <c r="BR463" s="4">
        <f>_xlfn.IFNA(VLOOKUP(Granger_Inventory[[#This Row],[quality]],Lookups!$A$25:$C$35,3,FALSE),1)</f>
        <v>0.98258795897788032</v>
      </c>
      <c r="BS463" s="4">
        <f>_xlfn.IFNA(VLOOKUP(Granger_Inventory[[#This Row],[condition]],Lookups!$A$38:$C$45,3,FALSE),1)</f>
        <v>0.92294678898076177</v>
      </c>
      <c r="BT463" s="4">
        <f>IF(Granger_Inventory[[#This Row],[decade]]="",1,_xlfn.IFNA(VLOOKUP(Granger_Inventory[[#This Row],[decade]],Lookups!$G$28:$I$42,3,FALSE),1))</f>
        <v>0.86581421791274704</v>
      </c>
      <c r="BU463" s="4">
        <f>_xlfn.IFNA(VLOOKUP(Granger_Inventory[[#This Row],[living_area_range]],Lookups!$A$48:$C$57,3,FALSE),1)</f>
        <v>0.97860968051050168</v>
      </c>
      <c r="BV463" s="4">
        <f>AVERAGE(Granger_Inventory[[#This Row],[qual_adj]:[living_range_adj]])</f>
        <v>0.93748966159547265</v>
      </c>
      <c r="BW463" s="8">
        <f>(Granger_Inventory[[#This Row],[sum_land]]-IF(Granger_Inventory[[#This Row],[no_utilities]]=1,12000,0))/IF(Granger_Inventory[[#This Row],[unbuildable]]=1,2,1)</f>
        <v>47835.11886734853</v>
      </c>
      <c r="BX463" s="8">
        <f>Granger_Inventory[[#This Row],[pre_res]]*Granger_Inventory[[#This Row],[overall_adj]]</f>
        <v>217665.44973291073</v>
      </c>
      <c r="BY463">
        <f>IF(ROUND(Granger_Inventory[[#This Row],[adj_land]]*Lookups!$I$45,-2)&lt;Granger_Inventory[[#This Row],[min_land]],Granger_Inventory[[#This Row],[min_land]],ROUND(Granger_Inventory[[#This Row],[adj_land]]*Lookups!$I$45,-2))</f>
        <v>45400</v>
      </c>
      <c r="BZ463">
        <f>ROUND(Granger_Inventory[[#This Row],[detatched_value]]*Lookups!$I$45,-2)</f>
        <v>3100</v>
      </c>
      <c r="CA463">
        <f>IF(ROUND(Granger_Inventory[[#This Row],[adj_res]]*Lookups!$I$45,-2)&lt;Granger_Inventory[[#This Row],[min_res]],Granger_Inventory[[#This Row],[min_res]],ROUND(Granger_Inventory[[#This Row],[adj_res]]*Lookups!$I$45,-2))</f>
        <v>206800</v>
      </c>
      <c r="CB463">
        <f>Granger_Inventory[[#This Row],[final_det]]+Granger_Inventory[[#This Row],[final_res]]</f>
        <v>209900</v>
      </c>
      <c r="CC463">
        <f>Granger_Inventory[[#This Row],[final_land]]+Granger_Inventory[[#This Row],[final_imp]]+Granger_Inventory[[#This Row],[crop_value]]</f>
        <v>255300</v>
      </c>
      <c r="CE463" t="str">
        <f t="shared" si="7"/>
        <v>update valuation set market_land =45400, market_bldg=209900, market_total =255300, market_mdno =402, market_date ='9/10/2023' where link_id = (select link_id from parcel where parcel_year = '2024' and parcel_id = '21102121414');</v>
      </c>
    </row>
    <row r="464" spans="1:83" x14ac:dyDescent="0.25">
      <c r="A464">
        <v>21102121415</v>
      </c>
      <c r="B464">
        <v>0.14000000000000001</v>
      </c>
      <c r="C464">
        <v>6288</v>
      </c>
      <c r="D464" t="s">
        <v>137</v>
      </c>
      <c r="E464" t="s">
        <v>54</v>
      </c>
      <c r="F464" t="s">
        <v>54</v>
      </c>
      <c r="G464">
        <v>3</v>
      </c>
      <c r="H464" t="s">
        <v>55</v>
      </c>
      <c r="I464">
        <v>179000</v>
      </c>
      <c r="J464">
        <v>25900</v>
      </c>
      <c r="K464">
        <v>0.14000000000000001</v>
      </c>
      <c r="L464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464">
        <v>0</v>
      </c>
      <c r="N464">
        <v>0</v>
      </c>
      <c r="O464">
        <v>0</v>
      </c>
      <c r="P464">
        <v>47108.068500000001</v>
      </c>
      <c r="Q464">
        <v>122298</v>
      </c>
      <c r="R464">
        <f>(Granger_Inventory[[#This Row],[ln_acres]]*Granger_Inventory[[#This Row],[coeff]])+Granger_Inventory[[#This Row],[const]]</f>
        <v>29678.220883257934</v>
      </c>
      <c r="S464" t="s">
        <v>69</v>
      </c>
      <c r="T464">
        <v>1</v>
      </c>
      <c r="U464" t="s">
        <v>64</v>
      </c>
      <c r="V464" t="s">
        <v>72</v>
      </c>
      <c r="W464">
        <v>0</v>
      </c>
      <c r="X464">
        <v>0</v>
      </c>
      <c r="Y464">
        <v>50</v>
      </c>
      <c r="Z464">
        <v>73</v>
      </c>
      <c r="AA464">
        <v>80</v>
      </c>
      <c r="AB464">
        <v>1500</v>
      </c>
      <c r="AC464">
        <v>1500</v>
      </c>
      <c r="AD464">
        <v>1500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5</v>
      </c>
      <c r="AQ464">
        <v>0</v>
      </c>
      <c r="AR464">
        <v>1</v>
      </c>
      <c r="AS464" t="s">
        <v>59</v>
      </c>
      <c r="AT464">
        <v>1</v>
      </c>
      <c r="AU464" t="s">
        <v>60</v>
      </c>
      <c r="AV464" t="s">
        <v>61</v>
      </c>
      <c r="AW464">
        <v>1</v>
      </c>
      <c r="AX464">
        <v>2</v>
      </c>
      <c r="AY464">
        <v>0</v>
      </c>
      <c r="AZ464">
        <v>0</v>
      </c>
      <c r="BA464">
        <v>100</v>
      </c>
      <c r="BB464">
        <v>100</v>
      </c>
      <c r="BC464">
        <v>100</v>
      </c>
      <c r="BD464">
        <v>100</v>
      </c>
      <c r="BE464">
        <v>1</v>
      </c>
      <c r="BF464">
        <v>15000</v>
      </c>
      <c r="BG464">
        <v>1000</v>
      </c>
      <c r="BH464" s="8">
        <f>Granger_Inventory[[#This Row],[land_extract]]*Lookups!$B$3</f>
        <v>17680.230269359956</v>
      </c>
      <c r="BI464" s="8">
        <f>IF(Granger_Inventory[[#This Row],[bldg_style]]="",0,Lookups!$B$2)</f>
        <v>29703.559000000001</v>
      </c>
      <c r="BJ464" s="8">
        <f>_xlfn.IFNA(VLOOKUP(Granger_Inventory[[#This Row],[quality]],Lookups!$H$2:$J$14,3,FALSE),0)</f>
        <v>36568</v>
      </c>
      <c r="BK464" s="8">
        <f>_xlfn.IFNA(VLOOKUP(Granger_Inventory[[#This Row],[condition]],Lookups!$H$17:$J$24,3,FALSE),0)</f>
        <v>94106</v>
      </c>
      <c r="BL464" s="8">
        <f>Granger_Inventory[[#This Row],[Age]]*Lookups!$B$16</f>
        <v>-15135.1703</v>
      </c>
      <c r="BM464" s="8">
        <f>Granger_Inventory[[#This Row],[living_area]]*Lookups!$B$17</f>
        <v>100909.36349999999</v>
      </c>
      <c r="BN464" s="8">
        <f>(Granger_Inventory[[#This Row],[att_gar]]+Granger_Inventory[[#This Row],[blt_gar]])*Lookups!$B$18</f>
        <v>0</v>
      </c>
      <c r="BO464" s="8">
        <f>Granger_Inventory[[#This Row],[Patio]]*Lookups!$B$19</f>
        <v>0</v>
      </c>
      <c r="BP464" s="8">
        <f>SUM(Granger_Inventory[[#This Row],[Intercept]:[Patio_Value]])*Granger_Inventory[[#This Row],[res_pct]]</f>
        <v>246151.75219999999</v>
      </c>
      <c r="BQ464" s="8">
        <f>Granger_Inventory[[#This Row],[land_value]]</f>
        <v>17680.230269359956</v>
      </c>
      <c r="BR464" s="4">
        <f>_xlfn.IFNA(VLOOKUP(Granger_Inventory[[#This Row],[quality]],Lookups!$A$25:$C$35,3,FALSE),1)</f>
        <v>0.99049976351917957</v>
      </c>
      <c r="BS464" s="4">
        <f>_xlfn.IFNA(VLOOKUP(Granger_Inventory[[#This Row],[condition]],Lookups!$A$38:$C$45,3,FALSE),1)</f>
        <v>0.98658583151544277</v>
      </c>
      <c r="BT464" s="4">
        <f>IF(Granger_Inventory[[#This Row],[decade]]="",1,_xlfn.IFNA(VLOOKUP(Granger_Inventory[[#This Row],[decade]],Lookups!$G$28:$I$42,3,FALSE),1))</f>
        <v>0.76006056002554967</v>
      </c>
      <c r="BU464" s="4">
        <f>_xlfn.IFNA(VLOOKUP(Granger_Inventory[[#This Row],[living_area_range]],Lookups!$A$48:$C$57,3,FALSE),1)</f>
        <v>0.97960506760539345</v>
      </c>
      <c r="BV464" s="4">
        <f>AVERAGE(Granger_Inventory[[#This Row],[qual_adj]:[living_range_adj]])</f>
        <v>0.92918780566639136</v>
      </c>
      <c r="BW464" s="8">
        <f>(Granger_Inventory[[#This Row],[sum_land]]-IF(Granger_Inventory[[#This Row],[no_utilities]]=1,12000,0))/IF(Granger_Inventory[[#This Row],[unbuildable]]=1,2,1)</f>
        <v>17680.230269359956</v>
      </c>
      <c r="BX464" s="8">
        <f>Granger_Inventory[[#This Row],[pre_res]]*Granger_Inventory[[#This Row],[overall_adj]]</f>
        <v>228721.20648765532</v>
      </c>
      <c r="BY464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464">
        <f>ROUND(Granger_Inventory[[#This Row],[detatched_value]]*Lookups!$I$45,-2)</f>
        <v>0</v>
      </c>
      <c r="CA464">
        <f>IF(ROUND(Granger_Inventory[[#This Row],[adj_res]]*Lookups!$I$45,-2)&lt;Granger_Inventory[[#This Row],[min_res]],Granger_Inventory[[#This Row],[min_res]],ROUND(Granger_Inventory[[#This Row],[adj_res]]*Lookups!$I$45,-2))</f>
        <v>217300</v>
      </c>
      <c r="CB464">
        <f>Granger_Inventory[[#This Row],[final_det]]+Granger_Inventory[[#This Row],[final_res]]</f>
        <v>217300</v>
      </c>
      <c r="CC464">
        <f>Granger_Inventory[[#This Row],[final_land]]+Granger_Inventory[[#This Row],[final_imp]]+Granger_Inventory[[#This Row],[crop_value]]</f>
        <v>234100</v>
      </c>
      <c r="CE464" t="str">
        <f t="shared" si="7"/>
        <v>update valuation set market_land =16800, market_bldg=217300, market_total =234100, market_mdno =402, market_date ='9/10/2023' where link_id = (select link_id from parcel where parcel_year = '2024' and parcel_id = '21102121415');</v>
      </c>
    </row>
    <row r="465" spans="1:83" x14ac:dyDescent="0.25">
      <c r="A465">
        <v>21102121420</v>
      </c>
      <c r="B465">
        <v>0.39</v>
      </c>
      <c r="C465">
        <v>17138</v>
      </c>
      <c r="D465" t="s">
        <v>137</v>
      </c>
      <c r="E465" t="s">
        <v>54</v>
      </c>
      <c r="F465" t="s">
        <v>54</v>
      </c>
      <c r="G465">
        <v>3</v>
      </c>
      <c r="H465" t="s">
        <v>55</v>
      </c>
      <c r="I465">
        <v>151400</v>
      </c>
      <c r="J465">
        <v>32000</v>
      </c>
      <c r="K465">
        <v>0.39</v>
      </c>
      <c r="L465">
        <f>IF(Granger_Inventory[[#This Row],[parcel_acres]]-Granger_Inventory[[#This Row],[non_valued_acres]] =0,0,LN(Granger_Inventory[[#This Row],[parcel_acres]]-Granger_Inventory[[#This Row],[non_valued_acres]]))</f>
        <v>-0.94160853985844495</v>
      </c>
      <c r="M465">
        <v>0</v>
      </c>
      <c r="N465">
        <v>0</v>
      </c>
      <c r="O465">
        <v>0</v>
      </c>
      <c r="P465">
        <v>47108.068500000001</v>
      </c>
      <c r="Q465">
        <v>122298</v>
      </c>
      <c r="R465">
        <f>(Granger_Inventory[[#This Row],[ln_acres]]*Granger_Inventory[[#This Row],[coeff]])+Granger_Inventory[[#This Row],[const]]</f>
        <v>77940.640404163394</v>
      </c>
      <c r="S465" t="s">
        <v>62</v>
      </c>
      <c r="T465">
        <v>2</v>
      </c>
      <c r="U465" t="s">
        <v>71</v>
      </c>
      <c r="V465" t="s">
        <v>77</v>
      </c>
      <c r="W465">
        <v>0</v>
      </c>
      <c r="X465">
        <v>0</v>
      </c>
      <c r="Y465">
        <v>65</v>
      </c>
      <c r="Z465">
        <v>113</v>
      </c>
      <c r="AA465">
        <v>120</v>
      </c>
      <c r="AB465">
        <v>2000</v>
      </c>
      <c r="AC465">
        <v>1624</v>
      </c>
      <c r="AD465">
        <v>1260</v>
      </c>
      <c r="AE465">
        <v>364</v>
      </c>
      <c r="AF465">
        <v>0</v>
      </c>
      <c r="AG465">
        <v>0</v>
      </c>
      <c r="AH465">
        <v>319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5</v>
      </c>
      <c r="AQ465">
        <v>0</v>
      </c>
      <c r="AR465">
        <v>0</v>
      </c>
      <c r="AS465" t="s">
        <v>59</v>
      </c>
      <c r="AT465">
        <v>0</v>
      </c>
      <c r="AU465" t="s">
        <v>83</v>
      </c>
      <c r="AV465" t="s">
        <v>65</v>
      </c>
      <c r="AW465">
        <v>0</v>
      </c>
      <c r="AX465">
        <v>3</v>
      </c>
      <c r="AY465">
        <v>0</v>
      </c>
      <c r="AZ465">
        <v>2800</v>
      </c>
      <c r="BA465">
        <v>100</v>
      </c>
      <c r="BB465">
        <v>100</v>
      </c>
      <c r="BC465">
        <v>100</v>
      </c>
      <c r="BD465">
        <v>100</v>
      </c>
      <c r="BE465">
        <v>1</v>
      </c>
      <c r="BF465">
        <v>15000</v>
      </c>
      <c r="BG465">
        <v>1000</v>
      </c>
      <c r="BH465" s="8">
        <f>Granger_Inventory[[#This Row],[land_extract]]*Lookups!$B$3</f>
        <v>46431.640060484584</v>
      </c>
      <c r="BI465" s="8">
        <f>IF(Granger_Inventory[[#This Row],[bldg_style]]="",0,Lookups!$B$2)</f>
        <v>29703.559000000001</v>
      </c>
      <c r="BJ465" s="8">
        <f>_xlfn.IFNA(VLOOKUP(Granger_Inventory[[#This Row],[quality]],Lookups!$H$2:$J$14,3,FALSE),0)</f>
        <v>34195</v>
      </c>
      <c r="BK465" s="8">
        <f>_xlfn.IFNA(VLOOKUP(Granger_Inventory[[#This Row],[condition]],Lookups!$H$17:$J$24,3,FALSE),0)</f>
        <v>33736</v>
      </c>
      <c r="BL465" s="8">
        <f>Granger_Inventory[[#This Row],[Age]]*Lookups!$B$16</f>
        <v>-23428.4143</v>
      </c>
      <c r="BM465" s="8">
        <f>Granger_Inventory[[#This Row],[living_area]]*Lookups!$B$17</f>
        <v>109251.204216</v>
      </c>
      <c r="BN465" s="8">
        <f>(Granger_Inventory[[#This Row],[att_gar]]+Granger_Inventory[[#This Row],[blt_gar]])*Lookups!$B$18</f>
        <v>0</v>
      </c>
      <c r="BO465" s="8">
        <f>Granger_Inventory[[#This Row],[Patio]]*Lookups!$B$19</f>
        <v>0</v>
      </c>
      <c r="BP465" s="8">
        <f>SUM(Granger_Inventory[[#This Row],[Intercept]:[Patio_Value]])*Granger_Inventory[[#This Row],[res_pct]]</f>
        <v>183457.34891599999</v>
      </c>
      <c r="BQ465" s="8">
        <f>Granger_Inventory[[#This Row],[land_value]]</f>
        <v>46431.640060484584</v>
      </c>
      <c r="BR465" s="4">
        <f>_xlfn.IFNA(VLOOKUP(Granger_Inventory[[#This Row],[quality]],Lookups!$A$25:$C$35,3,FALSE),1)</f>
        <v>0.98258795897788032</v>
      </c>
      <c r="BS465" s="4">
        <f>_xlfn.IFNA(VLOOKUP(Granger_Inventory[[#This Row],[condition]],Lookups!$A$38:$C$45,3,FALSE),1)</f>
        <v>0.92294678898076177</v>
      </c>
      <c r="BT465" s="4">
        <f>IF(Granger_Inventory[[#This Row],[decade]]="",1,_xlfn.IFNA(VLOOKUP(Granger_Inventory[[#This Row],[decade]],Lookups!$G$28:$I$42,3,FALSE),1))</f>
        <v>0.879441629375324</v>
      </c>
      <c r="BU465" s="4">
        <f>_xlfn.IFNA(VLOOKUP(Granger_Inventory[[#This Row],[living_area_range]],Lookups!$A$48:$C$57,3,FALSE),1)</f>
        <v>0.97860968051050168</v>
      </c>
      <c r="BV465" s="4">
        <f>AVERAGE(Granger_Inventory[[#This Row],[qual_adj]:[living_range_adj]])</f>
        <v>0.940896514461117</v>
      </c>
      <c r="BW465" s="8">
        <f>(Granger_Inventory[[#This Row],[sum_land]]-IF(Granger_Inventory[[#This Row],[no_utilities]]=1,12000,0))/IF(Granger_Inventory[[#This Row],[unbuildable]]=1,2,1)</f>
        <v>46431.640060484584</v>
      </c>
      <c r="BX465" s="8">
        <f>Granger_Inventory[[#This Row],[pre_res]]*Granger_Inventory[[#This Row],[overall_adj]]</f>
        <v>172614.38014734138</v>
      </c>
      <c r="BY465">
        <f>IF(ROUND(Granger_Inventory[[#This Row],[adj_land]]*Lookups!$I$45,-2)&lt;Granger_Inventory[[#This Row],[min_land]],Granger_Inventory[[#This Row],[min_land]],ROUND(Granger_Inventory[[#This Row],[adj_land]]*Lookups!$I$45,-2))</f>
        <v>44100</v>
      </c>
      <c r="BZ465">
        <f>ROUND(Granger_Inventory[[#This Row],[detatched_value]]*Lookups!$I$45,-2)</f>
        <v>2700</v>
      </c>
      <c r="CA465">
        <f>IF(ROUND(Granger_Inventory[[#This Row],[adj_res]]*Lookups!$I$45,-2)&lt;Granger_Inventory[[#This Row],[min_res]],Granger_Inventory[[#This Row],[min_res]],ROUND(Granger_Inventory[[#This Row],[adj_res]]*Lookups!$I$45,-2))</f>
        <v>164000</v>
      </c>
      <c r="CB465">
        <f>Granger_Inventory[[#This Row],[final_det]]+Granger_Inventory[[#This Row],[final_res]]</f>
        <v>166700</v>
      </c>
      <c r="CC465">
        <f>Granger_Inventory[[#This Row],[final_land]]+Granger_Inventory[[#This Row],[final_imp]]+Granger_Inventory[[#This Row],[crop_value]]</f>
        <v>210800</v>
      </c>
      <c r="CE465" t="str">
        <f t="shared" si="7"/>
        <v>update valuation set market_land =44100, market_bldg=166700, market_total =210800, market_mdno =402, market_date ='9/10/2023' where link_id = (select link_id from parcel where parcel_year = '2024' and parcel_id = '21102121420');</v>
      </c>
    </row>
    <row r="466" spans="1:83" x14ac:dyDescent="0.25">
      <c r="A466">
        <v>21102121423</v>
      </c>
      <c r="B466">
        <v>0.21</v>
      </c>
      <c r="C466">
        <v>9316</v>
      </c>
      <c r="D466" t="s">
        <v>137</v>
      </c>
      <c r="E466" t="s">
        <v>54</v>
      </c>
      <c r="F466" t="s">
        <v>54</v>
      </c>
      <c r="G466">
        <v>3</v>
      </c>
      <c r="H466" t="s">
        <v>55</v>
      </c>
      <c r="I466">
        <v>155300</v>
      </c>
      <c r="J466">
        <v>28300</v>
      </c>
      <c r="K466">
        <v>0.21</v>
      </c>
      <c r="L466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466">
        <v>0</v>
      </c>
      <c r="N466">
        <v>0</v>
      </c>
      <c r="O466">
        <v>0</v>
      </c>
      <c r="P466">
        <v>47108.068500000001</v>
      </c>
      <c r="Q466">
        <v>122298</v>
      </c>
      <c r="R466">
        <f>(Granger_Inventory[[#This Row],[ln_acres]]*Granger_Inventory[[#This Row],[coeff]])+Granger_Inventory[[#This Row],[const]]</f>
        <v>48778.898970377239</v>
      </c>
      <c r="S466" t="s">
        <v>56</v>
      </c>
      <c r="T466">
        <v>1</v>
      </c>
      <c r="U466" t="s">
        <v>64</v>
      </c>
      <c r="V466" t="s">
        <v>77</v>
      </c>
      <c r="W466">
        <v>0</v>
      </c>
      <c r="X466">
        <v>0</v>
      </c>
      <c r="Y466">
        <v>47</v>
      </c>
      <c r="Z466">
        <v>56</v>
      </c>
      <c r="AA466">
        <v>60</v>
      </c>
      <c r="AB466">
        <v>1500</v>
      </c>
      <c r="AC466">
        <v>1220</v>
      </c>
      <c r="AD466">
        <v>1220</v>
      </c>
      <c r="AE466">
        <v>0</v>
      </c>
      <c r="AF466">
        <v>0</v>
      </c>
      <c r="AG466">
        <v>0</v>
      </c>
      <c r="AH466">
        <v>0</v>
      </c>
      <c r="AI466">
        <v>392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7</v>
      </c>
      <c r="AQ466">
        <v>0</v>
      </c>
      <c r="AR466">
        <v>1</v>
      </c>
      <c r="AS466" t="s">
        <v>59</v>
      </c>
      <c r="AT466">
        <v>1</v>
      </c>
      <c r="AU466" t="s">
        <v>60</v>
      </c>
      <c r="AV466" t="s">
        <v>61</v>
      </c>
      <c r="AW466">
        <v>1</v>
      </c>
      <c r="AX466">
        <v>3</v>
      </c>
      <c r="AY466">
        <v>0</v>
      </c>
      <c r="AZ466">
        <v>0</v>
      </c>
      <c r="BA466">
        <v>100</v>
      </c>
      <c r="BB466">
        <v>100</v>
      </c>
      <c r="BC466">
        <v>100</v>
      </c>
      <c r="BD466">
        <v>100</v>
      </c>
      <c r="BE466">
        <v>1</v>
      </c>
      <c r="BF466">
        <v>15000</v>
      </c>
      <c r="BG466">
        <v>1000</v>
      </c>
      <c r="BH466" s="8">
        <f>Granger_Inventory[[#This Row],[land_extract]]*Lookups!$B$3</f>
        <v>29059.09250674201</v>
      </c>
      <c r="BI466" s="8">
        <f>IF(Granger_Inventory[[#This Row],[bldg_style]]="",0,Lookups!$B$2)</f>
        <v>29703.559000000001</v>
      </c>
      <c r="BJ466" s="8">
        <f>_xlfn.IFNA(VLOOKUP(Granger_Inventory[[#This Row],[quality]],Lookups!$H$2:$J$14,3,FALSE),0)</f>
        <v>36568</v>
      </c>
      <c r="BK466" s="8">
        <f>_xlfn.IFNA(VLOOKUP(Granger_Inventory[[#This Row],[condition]],Lookups!$H$17:$J$24,3,FALSE),0)</f>
        <v>33736</v>
      </c>
      <c r="BL466" s="8">
        <f>Granger_Inventory[[#This Row],[Age]]*Lookups!$B$16</f>
        <v>-11610.5416</v>
      </c>
      <c r="BM466" s="8">
        <f>Granger_Inventory[[#This Row],[living_area]]*Lookups!$B$17</f>
        <v>82072.948980000001</v>
      </c>
      <c r="BN466" s="8">
        <f>(Granger_Inventory[[#This Row],[att_gar]]+Granger_Inventory[[#This Row],[blt_gar]])*Lookups!$B$18</f>
        <v>18991.453712000002</v>
      </c>
      <c r="BO466" s="8">
        <f>Granger_Inventory[[#This Row],[Patio]]*Lookups!$B$19</f>
        <v>0</v>
      </c>
      <c r="BP466" s="8">
        <f>SUM(Granger_Inventory[[#This Row],[Intercept]:[Patio_Value]])*Granger_Inventory[[#This Row],[res_pct]]</f>
        <v>189461.42009199999</v>
      </c>
      <c r="BQ466" s="8">
        <f>Granger_Inventory[[#This Row],[land_value]]</f>
        <v>29059.09250674201</v>
      </c>
      <c r="BR466" s="4">
        <f>_xlfn.IFNA(VLOOKUP(Granger_Inventory[[#This Row],[quality]],Lookups!$A$25:$C$35,3,FALSE),1)</f>
        <v>0.99049976351917957</v>
      </c>
      <c r="BS466" s="4">
        <f>_xlfn.IFNA(VLOOKUP(Granger_Inventory[[#This Row],[condition]],Lookups!$A$38:$C$45,3,FALSE),1)</f>
        <v>0.92294678898076177</v>
      </c>
      <c r="BT466" s="4">
        <f>IF(Granger_Inventory[[#This Row],[decade]]="",1,_xlfn.IFNA(VLOOKUP(Granger_Inventory[[#This Row],[decade]],Lookups!$G$28:$I$42,3,FALSE),1))</f>
        <v>0.86581421791274704</v>
      </c>
      <c r="BU466" s="4">
        <f>_xlfn.IFNA(VLOOKUP(Granger_Inventory[[#This Row],[living_area_range]],Lookups!$A$48:$C$57,3,FALSE),1)</f>
        <v>0.97960506760539345</v>
      </c>
      <c r="BV466" s="4">
        <f>AVERAGE(Granger_Inventory[[#This Row],[qual_adj]:[living_range_adj]])</f>
        <v>0.93971645950452043</v>
      </c>
      <c r="BW466" s="8">
        <f>(Granger_Inventory[[#This Row],[sum_land]]-IF(Granger_Inventory[[#This Row],[no_utilities]]=1,12000,0))/IF(Granger_Inventory[[#This Row],[unbuildable]]=1,2,1)</f>
        <v>29059.09250674201</v>
      </c>
      <c r="BX466" s="8">
        <f>Granger_Inventory[[#This Row],[pre_res]]*Granger_Inventory[[#This Row],[overall_adj]]</f>
        <v>178040.01490155284</v>
      </c>
      <c r="BY466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466">
        <f>ROUND(Granger_Inventory[[#This Row],[detatched_value]]*Lookups!$I$45,-2)</f>
        <v>0</v>
      </c>
      <c r="CA466">
        <f>IF(ROUND(Granger_Inventory[[#This Row],[adj_res]]*Lookups!$I$45,-2)&lt;Granger_Inventory[[#This Row],[min_res]],Granger_Inventory[[#This Row],[min_res]],ROUND(Granger_Inventory[[#This Row],[adj_res]]*Lookups!$I$45,-2))</f>
        <v>169100</v>
      </c>
      <c r="CB466">
        <f>Granger_Inventory[[#This Row],[final_det]]+Granger_Inventory[[#This Row],[final_res]]</f>
        <v>169100</v>
      </c>
      <c r="CC466">
        <f>Granger_Inventory[[#This Row],[final_land]]+Granger_Inventory[[#This Row],[final_imp]]+Granger_Inventory[[#This Row],[crop_value]]</f>
        <v>196700</v>
      </c>
      <c r="CE466" t="str">
        <f t="shared" si="7"/>
        <v>update valuation set market_land =27600, market_bldg=169100, market_total =196700, market_mdno =402, market_date ='9/10/2023' where link_id = (select link_id from parcel where parcel_year = '2024' and parcel_id = '21102121423');</v>
      </c>
    </row>
    <row r="467" spans="1:83" x14ac:dyDescent="0.25">
      <c r="A467">
        <v>21102121424</v>
      </c>
      <c r="B467">
        <v>0.23</v>
      </c>
      <c r="C467">
        <v>9852</v>
      </c>
      <c r="D467" t="s">
        <v>137</v>
      </c>
      <c r="E467" t="s">
        <v>54</v>
      </c>
      <c r="F467" t="s">
        <v>54</v>
      </c>
      <c r="G467">
        <v>3</v>
      </c>
      <c r="H467" t="s">
        <v>55</v>
      </c>
      <c r="I467">
        <v>157500</v>
      </c>
      <c r="J467">
        <v>28900</v>
      </c>
      <c r="K467">
        <v>0.23</v>
      </c>
      <c r="L467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467">
        <v>0</v>
      </c>
      <c r="N467">
        <v>0</v>
      </c>
      <c r="O467">
        <v>0</v>
      </c>
      <c r="P467">
        <v>47108.068500000001</v>
      </c>
      <c r="Q467">
        <v>122298</v>
      </c>
      <c r="R467">
        <f>(Granger_Inventory[[#This Row],[ln_acres]]*Granger_Inventory[[#This Row],[coeff]])+Granger_Inventory[[#This Row],[const]]</f>
        <v>53064.403729659418</v>
      </c>
      <c r="S467" t="s">
        <v>56</v>
      </c>
      <c r="T467">
        <v>1</v>
      </c>
      <c r="U467" t="s">
        <v>64</v>
      </c>
      <c r="V467" t="s">
        <v>77</v>
      </c>
      <c r="W467">
        <v>0</v>
      </c>
      <c r="X467">
        <v>0</v>
      </c>
      <c r="Y467">
        <v>46</v>
      </c>
      <c r="Z467">
        <v>55</v>
      </c>
      <c r="AA467">
        <v>60</v>
      </c>
      <c r="AB467">
        <v>1500</v>
      </c>
      <c r="AC467">
        <v>1080</v>
      </c>
      <c r="AD467">
        <v>1080</v>
      </c>
      <c r="AE467">
        <v>0</v>
      </c>
      <c r="AF467">
        <v>0</v>
      </c>
      <c r="AG467">
        <v>0</v>
      </c>
      <c r="AH467">
        <v>0</v>
      </c>
      <c r="AI467">
        <v>528</v>
      </c>
      <c r="AJ467">
        <v>0</v>
      </c>
      <c r="AK467">
        <v>0</v>
      </c>
      <c r="AL467">
        <v>0</v>
      </c>
      <c r="AM467">
        <v>248</v>
      </c>
      <c r="AN467">
        <v>0</v>
      </c>
      <c r="AO467">
        <v>50</v>
      </c>
      <c r="AP467">
        <v>8</v>
      </c>
      <c r="AQ467">
        <v>0</v>
      </c>
      <c r="AR467">
        <v>1</v>
      </c>
      <c r="AS467" t="s">
        <v>59</v>
      </c>
      <c r="AT467">
        <v>1</v>
      </c>
      <c r="AU467" t="s">
        <v>60</v>
      </c>
      <c r="AV467" t="s">
        <v>61</v>
      </c>
      <c r="AW467">
        <v>0</v>
      </c>
      <c r="AX467">
        <v>3</v>
      </c>
      <c r="AY467">
        <v>0</v>
      </c>
      <c r="AZ467">
        <v>0</v>
      </c>
      <c r="BA467">
        <v>100</v>
      </c>
      <c r="BB467">
        <v>100</v>
      </c>
      <c r="BC467">
        <v>100</v>
      </c>
      <c r="BD467">
        <v>100</v>
      </c>
      <c r="BE467">
        <v>1</v>
      </c>
      <c r="BF467">
        <v>15000</v>
      </c>
      <c r="BG467">
        <v>1000</v>
      </c>
      <c r="BH467" s="8">
        <f>Granger_Inventory[[#This Row],[land_extract]]*Lookups!$B$3</f>
        <v>31612.09968539299</v>
      </c>
      <c r="BI467" s="8">
        <f>IF(Granger_Inventory[[#This Row],[bldg_style]]="",0,Lookups!$B$2)</f>
        <v>29703.559000000001</v>
      </c>
      <c r="BJ467" s="8">
        <f>_xlfn.IFNA(VLOOKUP(Granger_Inventory[[#This Row],[quality]],Lookups!$H$2:$J$14,3,FALSE),0)</f>
        <v>36568</v>
      </c>
      <c r="BK467" s="8">
        <f>_xlfn.IFNA(VLOOKUP(Granger_Inventory[[#This Row],[condition]],Lookups!$H$17:$J$24,3,FALSE),0)</f>
        <v>33736</v>
      </c>
      <c r="BL467" s="8">
        <f>Granger_Inventory[[#This Row],[Age]]*Lookups!$B$16</f>
        <v>-11403.210499999999</v>
      </c>
      <c r="BM467" s="8">
        <f>Granger_Inventory[[#This Row],[living_area]]*Lookups!$B$17</f>
        <v>72654.741720000005</v>
      </c>
      <c r="BN467" s="8">
        <f>(Granger_Inventory[[#This Row],[att_gar]]+Granger_Inventory[[#This Row],[blt_gar]])*Lookups!$B$18</f>
        <v>25580.325408000001</v>
      </c>
      <c r="BO467" s="8">
        <f>Granger_Inventory[[#This Row],[Patio]]*Lookups!$B$19</f>
        <v>13470.143807999999</v>
      </c>
      <c r="BP467" s="8">
        <f>SUM(Granger_Inventory[[#This Row],[Intercept]:[Patio_Value]])*Granger_Inventory[[#This Row],[res_pct]]</f>
        <v>200309.55943600001</v>
      </c>
      <c r="BQ467" s="8">
        <f>Granger_Inventory[[#This Row],[land_value]]</f>
        <v>31612.09968539299</v>
      </c>
      <c r="BR467" s="4">
        <f>_xlfn.IFNA(VLOOKUP(Granger_Inventory[[#This Row],[quality]],Lookups!$A$25:$C$35,3,FALSE),1)</f>
        <v>0.99049976351917957</v>
      </c>
      <c r="BS467" s="4">
        <f>_xlfn.IFNA(VLOOKUP(Granger_Inventory[[#This Row],[condition]],Lookups!$A$38:$C$45,3,FALSE),1)</f>
        <v>0.92294678898076177</v>
      </c>
      <c r="BT467" s="4">
        <f>IF(Granger_Inventory[[#This Row],[decade]]="",1,_xlfn.IFNA(VLOOKUP(Granger_Inventory[[#This Row],[decade]],Lookups!$G$28:$I$42,3,FALSE),1))</f>
        <v>0.86581421791274704</v>
      </c>
      <c r="BU467" s="4">
        <f>_xlfn.IFNA(VLOOKUP(Granger_Inventory[[#This Row],[living_area_range]],Lookups!$A$48:$C$57,3,FALSE),1)</f>
        <v>0.97960506760539345</v>
      </c>
      <c r="BV467" s="4">
        <f>AVERAGE(Granger_Inventory[[#This Row],[qual_adj]:[living_range_adj]])</f>
        <v>0.93971645950452043</v>
      </c>
      <c r="BW467" s="8">
        <f>(Granger_Inventory[[#This Row],[sum_land]]-IF(Granger_Inventory[[#This Row],[no_utilities]]=1,12000,0))/IF(Granger_Inventory[[#This Row],[unbuildable]]=1,2,1)</f>
        <v>31612.09968539299</v>
      </c>
      <c r="BX467" s="8">
        <f>Granger_Inventory[[#This Row],[pre_res]]*Granger_Inventory[[#This Row],[overall_adj]]</f>
        <v>188234.18999810822</v>
      </c>
      <c r="BY467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467">
        <f>ROUND(Granger_Inventory[[#This Row],[detatched_value]]*Lookups!$I$45,-2)</f>
        <v>0</v>
      </c>
      <c r="CA467">
        <f>IF(ROUND(Granger_Inventory[[#This Row],[adj_res]]*Lookups!$I$45,-2)&lt;Granger_Inventory[[#This Row],[min_res]],Granger_Inventory[[#This Row],[min_res]],ROUND(Granger_Inventory[[#This Row],[adj_res]]*Lookups!$I$45,-2))</f>
        <v>178800</v>
      </c>
      <c r="CB467">
        <f>Granger_Inventory[[#This Row],[final_det]]+Granger_Inventory[[#This Row],[final_res]]</f>
        <v>178800</v>
      </c>
      <c r="CC467">
        <f>Granger_Inventory[[#This Row],[final_land]]+Granger_Inventory[[#This Row],[final_imp]]+Granger_Inventory[[#This Row],[crop_value]]</f>
        <v>208800</v>
      </c>
      <c r="CE467" t="str">
        <f t="shared" si="7"/>
        <v>update valuation set market_land =30000, market_bldg=178800, market_total =208800, market_mdno =402, market_date ='9/10/2023' where link_id = (select link_id from parcel where parcel_year = '2024' and parcel_id = '21102121424');</v>
      </c>
    </row>
    <row r="468" spans="1:83" x14ac:dyDescent="0.25">
      <c r="A468">
        <v>21102121425</v>
      </c>
      <c r="B468">
        <v>0.24</v>
      </c>
      <c r="C468">
        <v>10431</v>
      </c>
      <c r="D468" t="s">
        <v>137</v>
      </c>
      <c r="E468" t="s">
        <v>54</v>
      </c>
      <c r="F468" t="s">
        <v>54</v>
      </c>
      <c r="G468">
        <v>3</v>
      </c>
      <c r="H468" t="s">
        <v>55</v>
      </c>
      <c r="I468">
        <v>119000</v>
      </c>
      <c r="J468">
        <v>29100</v>
      </c>
      <c r="K468">
        <v>0.24</v>
      </c>
      <c r="L468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68">
        <v>0</v>
      </c>
      <c r="N468">
        <v>0</v>
      </c>
      <c r="O468">
        <v>0</v>
      </c>
      <c r="P468">
        <v>47108.068500000001</v>
      </c>
      <c r="Q468">
        <v>122298</v>
      </c>
      <c r="R468">
        <f>(Granger_Inventory[[#This Row],[ln_acres]]*Granger_Inventory[[#This Row],[coeff]])+Granger_Inventory[[#This Row],[const]]</f>
        <v>55069.304961033646</v>
      </c>
      <c r="S468" t="s">
        <v>69</v>
      </c>
      <c r="T468">
        <v>1</v>
      </c>
      <c r="U468" t="s">
        <v>71</v>
      </c>
      <c r="V468" t="s">
        <v>77</v>
      </c>
      <c r="W468">
        <v>0</v>
      </c>
      <c r="X468">
        <v>0</v>
      </c>
      <c r="Y468">
        <v>50</v>
      </c>
      <c r="Z468">
        <v>73</v>
      </c>
      <c r="AA468">
        <v>80</v>
      </c>
      <c r="AB468">
        <v>1500</v>
      </c>
      <c r="AC468">
        <v>1332</v>
      </c>
      <c r="AD468">
        <v>1332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222</v>
      </c>
      <c r="AN468">
        <v>0</v>
      </c>
      <c r="AO468">
        <v>0</v>
      </c>
      <c r="AP468">
        <v>5</v>
      </c>
      <c r="AQ468">
        <v>0</v>
      </c>
      <c r="AR468">
        <v>0</v>
      </c>
      <c r="AS468" t="s">
        <v>59</v>
      </c>
      <c r="AT468">
        <v>1</v>
      </c>
      <c r="AU468" t="s">
        <v>60</v>
      </c>
      <c r="AV468" t="s">
        <v>65</v>
      </c>
      <c r="AW468">
        <v>0</v>
      </c>
      <c r="AX468">
        <v>2</v>
      </c>
      <c r="AY468">
        <v>0</v>
      </c>
      <c r="AZ468">
        <v>14400</v>
      </c>
      <c r="BA468">
        <v>100</v>
      </c>
      <c r="BB468">
        <v>100</v>
      </c>
      <c r="BC468">
        <v>100</v>
      </c>
      <c r="BD468">
        <v>100</v>
      </c>
      <c r="BE468">
        <v>1</v>
      </c>
      <c r="BF468">
        <v>15000</v>
      </c>
      <c r="BG468">
        <v>1000</v>
      </c>
      <c r="BH468" s="8">
        <f>Granger_Inventory[[#This Row],[land_extract]]*Lookups!$B$3</f>
        <v>32806.481099880541</v>
      </c>
      <c r="BI468" s="8">
        <f>IF(Granger_Inventory[[#This Row],[bldg_style]]="",0,Lookups!$B$2)</f>
        <v>29703.559000000001</v>
      </c>
      <c r="BJ468" s="8">
        <f>_xlfn.IFNA(VLOOKUP(Granger_Inventory[[#This Row],[quality]],Lookups!$H$2:$J$14,3,FALSE),0)</f>
        <v>34195</v>
      </c>
      <c r="BK468" s="8">
        <f>_xlfn.IFNA(VLOOKUP(Granger_Inventory[[#This Row],[condition]],Lookups!$H$17:$J$24,3,FALSE),0)</f>
        <v>33736</v>
      </c>
      <c r="BL468" s="8">
        <f>Granger_Inventory[[#This Row],[Age]]*Lookups!$B$16</f>
        <v>-15135.1703</v>
      </c>
      <c r="BM468" s="8">
        <f>Granger_Inventory[[#This Row],[living_area]]*Lookups!$B$17</f>
        <v>89607.514788</v>
      </c>
      <c r="BN468" s="8">
        <f>(Granger_Inventory[[#This Row],[att_gar]]+Granger_Inventory[[#This Row],[blt_gar]])*Lookups!$B$18</f>
        <v>0</v>
      </c>
      <c r="BO468" s="8">
        <f>Granger_Inventory[[#This Row],[Patio]]*Lookups!$B$19</f>
        <v>12057.951311999999</v>
      </c>
      <c r="BP468" s="8">
        <f>SUM(Granger_Inventory[[#This Row],[Intercept]:[Patio_Value]])*Granger_Inventory[[#This Row],[res_pct]]</f>
        <v>184164.8548</v>
      </c>
      <c r="BQ468" s="8">
        <f>Granger_Inventory[[#This Row],[land_value]]</f>
        <v>32806.481099880541</v>
      </c>
      <c r="BR468" s="4">
        <f>_xlfn.IFNA(VLOOKUP(Granger_Inventory[[#This Row],[quality]],Lookups!$A$25:$C$35,3,FALSE),1)</f>
        <v>0.98258795897788032</v>
      </c>
      <c r="BS468" s="4">
        <f>_xlfn.IFNA(VLOOKUP(Granger_Inventory[[#This Row],[condition]],Lookups!$A$38:$C$45,3,FALSE),1)</f>
        <v>0.92294678898076177</v>
      </c>
      <c r="BT468" s="4">
        <f>IF(Granger_Inventory[[#This Row],[decade]]="",1,_xlfn.IFNA(VLOOKUP(Granger_Inventory[[#This Row],[decade]],Lookups!$G$28:$I$42,3,FALSE),1))</f>
        <v>0.76006056002554967</v>
      </c>
      <c r="BU468" s="4">
        <f>_xlfn.IFNA(VLOOKUP(Granger_Inventory[[#This Row],[living_area_range]],Lookups!$A$48:$C$57,3,FALSE),1)</f>
        <v>0.97960506760539345</v>
      </c>
      <c r="BV468" s="4">
        <f>AVERAGE(Granger_Inventory[[#This Row],[qual_adj]:[living_range_adj]])</f>
        <v>0.9113000938973963</v>
      </c>
      <c r="BW468" s="8">
        <f>(Granger_Inventory[[#This Row],[sum_land]]-IF(Granger_Inventory[[#This Row],[no_utilities]]=1,12000,0))/IF(Granger_Inventory[[#This Row],[unbuildable]]=1,2,1)</f>
        <v>32806.481099880541</v>
      </c>
      <c r="BX468" s="8">
        <f>Granger_Inventory[[#This Row],[pre_res]]*Granger_Inventory[[#This Row],[overall_adj]]</f>
        <v>167829.44947184034</v>
      </c>
      <c r="BY468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68">
        <f>ROUND(Granger_Inventory[[#This Row],[detatched_value]]*Lookups!$I$45,-2)</f>
        <v>13700</v>
      </c>
      <c r="CA468">
        <f>IF(ROUND(Granger_Inventory[[#This Row],[adj_res]]*Lookups!$I$45,-2)&lt;Granger_Inventory[[#This Row],[min_res]],Granger_Inventory[[#This Row],[min_res]],ROUND(Granger_Inventory[[#This Row],[adj_res]]*Lookups!$I$45,-2))</f>
        <v>159400</v>
      </c>
      <c r="CB468">
        <f>Granger_Inventory[[#This Row],[final_det]]+Granger_Inventory[[#This Row],[final_res]]</f>
        <v>173100</v>
      </c>
      <c r="CC468">
        <f>Granger_Inventory[[#This Row],[final_land]]+Granger_Inventory[[#This Row],[final_imp]]+Granger_Inventory[[#This Row],[crop_value]]</f>
        <v>204300</v>
      </c>
      <c r="CE468" t="str">
        <f t="shared" si="7"/>
        <v>update valuation set market_land =31200, market_bldg=173100, market_total =204300, market_mdno =402, market_date ='9/10/2023' where link_id = (select link_id from parcel where parcel_year = '2024' and parcel_id = '21102121425');</v>
      </c>
    </row>
    <row r="469" spans="1:83" x14ac:dyDescent="0.25">
      <c r="A469">
        <v>21102121426</v>
      </c>
      <c r="B469">
        <v>0.24</v>
      </c>
      <c r="C469">
        <v>10373</v>
      </c>
      <c r="D469" t="s">
        <v>137</v>
      </c>
      <c r="E469" t="s">
        <v>54</v>
      </c>
      <c r="F469" t="s">
        <v>54</v>
      </c>
      <c r="G469">
        <v>3</v>
      </c>
      <c r="H469" t="s">
        <v>55</v>
      </c>
      <c r="I469">
        <v>97500</v>
      </c>
      <c r="J469">
        <v>29100</v>
      </c>
      <c r="K469">
        <v>0.24</v>
      </c>
      <c r="L469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469">
        <v>0</v>
      </c>
      <c r="N469">
        <v>0</v>
      </c>
      <c r="O469">
        <v>0</v>
      </c>
      <c r="P469">
        <v>47108.068500000001</v>
      </c>
      <c r="Q469">
        <v>122298</v>
      </c>
      <c r="R469">
        <f>(Granger_Inventory[[#This Row],[ln_acres]]*Granger_Inventory[[#This Row],[coeff]])+Granger_Inventory[[#This Row],[const]]</f>
        <v>55069.304961033646</v>
      </c>
      <c r="S469" t="s">
        <v>69</v>
      </c>
      <c r="T469">
        <v>1</v>
      </c>
      <c r="U469" t="s">
        <v>71</v>
      </c>
      <c r="V469" t="s">
        <v>77</v>
      </c>
      <c r="W469">
        <v>0</v>
      </c>
      <c r="X469">
        <v>0</v>
      </c>
      <c r="Y469">
        <v>53</v>
      </c>
      <c r="Z469">
        <v>93</v>
      </c>
      <c r="AA469">
        <v>100</v>
      </c>
      <c r="AB469">
        <v>1500</v>
      </c>
      <c r="AC469">
        <v>1091</v>
      </c>
      <c r="AD469">
        <v>1091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375</v>
      </c>
      <c r="AL469">
        <v>0</v>
      </c>
      <c r="AM469">
        <v>0</v>
      </c>
      <c r="AN469">
        <v>84</v>
      </c>
      <c r="AO469">
        <v>0</v>
      </c>
      <c r="AP469">
        <v>5</v>
      </c>
      <c r="AQ469">
        <v>0</v>
      </c>
      <c r="AR469">
        <v>0</v>
      </c>
      <c r="AS469" t="s">
        <v>59</v>
      </c>
      <c r="AT469">
        <v>1</v>
      </c>
      <c r="AU469" t="s">
        <v>60</v>
      </c>
      <c r="AV469" t="s">
        <v>61</v>
      </c>
      <c r="AW469">
        <v>0</v>
      </c>
      <c r="AX469">
        <v>2</v>
      </c>
      <c r="AY469">
        <v>0</v>
      </c>
      <c r="AZ469">
        <v>10700</v>
      </c>
      <c r="BA469">
        <v>100</v>
      </c>
      <c r="BB469">
        <v>100</v>
      </c>
      <c r="BC469">
        <v>100</v>
      </c>
      <c r="BD469">
        <v>100</v>
      </c>
      <c r="BE469">
        <v>1</v>
      </c>
      <c r="BF469">
        <v>15000</v>
      </c>
      <c r="BG469">
        <v>1000</v>
      </c>
      <c r="BH469" s="8">
        <f>Granger_Inventory[[#This Row],[land_extract]]*Lookups!$B$3</f>
        <v>32806.481099880541</v>
      </c>
      <c r="BI469" s="8">
        <f>IF(Granger_Inventory[[#This Row],[bldg_style]]="",0,Lookups!$B$2)</f>
        <v>29703.559000000001</v>
      </c>
      <c r="BJ469" s="8">
        <f>_xlfn.IFNA(VLOOKUP(Granger_Inventory[[#This Row],[quality]],Lookups!$H$2:$J$14,3,FALSE),0)</f>
        <v>34195</v>
      </c>
      <c r="BK469" s="8">
        <f>_xlfn.IFNA(VLOOKUP(Granger_Inventory[[#This Row],[condition]],Lookups!$H$17:$J$24,3,FALSE),0)</f>
        <v>33736</v>
      </c>
      <c r="BL469" s="8">
        <f>Granger_Inventory[[#This Row],[Age]]*Lookups!$B$16</f>
        <v>-19281.792300000001</v>
      </c>
      <c r="BM469" s="8">
        <f>Granger_Inventory[[#This Row],[living_area]]*Lookups!$B$17</f>
        <v>73394.743719000006</v>
      </c>
      <c r="BN469" s="8">
        <f>(Granger_Inventory[[#This Row],[att_gar]]+Granger_Inventory[[#This Row],[blt_gar]])*Lookups!$B$18</f>
        <v>0</v>
      </c>
      <c r="BO469" s="8">
        <f>Granger_Inventory[[#This Row],[Patio]]*Lookups!$B$19</f>
        <v>0</v>
      </c>
      <c r="BP469" s="8">
        <f>SUM(Granger_Inventory[[#This Row],[Intercept]:[Patio_Value]])*Granger_Inventory[[#This Row],[res_pct]]</f>
        <v>151747.510419</v>
      </c>
      <c r="BQ469" s="8">
        <f>Granger_Inventory[[#This Row],[land_value]]</f>
        <v>32806.481099880541</v>
      </c>
      <c r="BR469" s="4">
        <f>_xlfn.IFNA(VLOOKUP(Granger_Inventory[[#This Row],[quality]],Lookups!$A$25:$C$35,3,FALSE),1)</f>
        <v>0.98258795897788032</v>
      </c>
      <c r="BS469" s="4">
        <f>_xlfn.IFNA(VLOOKUP(Granger_Inventory[[#This Row],[condition]],Lookups!$A$38:$C$45,3,FALSE),1)</f>
        <v>0.92294678898076177</v>
      </c>
      <c r="BT469" s="4">
        <f>IF(Granger_Inventory[[#This Row],[decade]]="",1,_xlfn.IFNA(VLOOKUP(Granger_Inventory[[#This Row],[decade]],Lookups!$G$28:$I$42,3,FALSE),1))</f>
        <v>0.879441629375324</v>
      </c>
      <c r="BU469" s="4">
        <f>_xlfn.IFNA(VLOOKUP(Granger_Inventory[[#This Row],[living_area_range]],Lookups!$A$48:$C$57,3,FALSE),1)</f>
        <v>0.97960506760539345</v>
      </c>
      <c r="BV469" s="4">
        <f>AVERAGE(Granger_Inventory[[#This Row],[qual_adj]:[living_range_adj]])</f>
        <v>0.94114536123483994</v>
      </c>
      <c r="BW469" s="8">
        <f>(Granger_Inventory[[#This Row],[sum_land]]-IF(Granger_Inventory[[#This Row],[no_utilities]]=1,12000,0))/IF(Granger_Inventory[[#This Row],[unbuildable]]=1,2,1)</f>
        <v>32806.481099880541</v>
      </c>
      <c r="BX469" s="8">
        <f>Granger_Inventory[[#This Row],[pre_res]]*Granger_Inventory[[#This Row],[overall_adj]]</f>
        <v>142816.46550977739</v>
      </c>
      <c r="BY469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469">
        <f>ROUND(Granger_Inventory[[#This Row],[detatched_value]]*Lookups!$I$45,-2)</f>
        <v>10200</v>
      </c>
      <c r="CA469">
        <f>IF(ROUND(Granger_Inventory[[#This Row],[adj_res]]*Lookups!$I$45,-2)&lt;Granger_Inventory[[#This Row],[min_res]],Granger_Inventory[[#This Row],[min_res]],ROUND(Granger_Inventory[[#This Row],[adj_res]]*Lookups!$I$45,-2))</f>
        <v>135700</v>
      </c>
      <c r="CB469">
        <f>Granger_Inventory[[#This Row],[final_det]]+Granger_Inventory[[#This Row],[final_res]]</f>
        <v>145900</v>
      </c>
      <c r="CC469">
        <f>Granger_Inventory[[#This Row],[final_land]]+Granger_Inventory[[#This Row],[final_imp]]+Granger_Inventory[[#This Row],[crop_value]]</f>
        <v>177100</v>
      </c>
      <c r="CE469" t="str">
        <f t="shared" si="7"/>
        <v>update valuation set market_land =31200, market_bldg=145900, market_total =177100, market_mdno =402, market_date ='9/10/2023' where link_id = (select link_id from parcel where parcel_year = '2024' and parcel_id = '21102121426');</v>
      </c>
    </row>
    <row r="470" spans="1:83" x14ac:dyDescent="0.25">
      <c r="A470">
        <v>21102121428</v>
      </c>
      <c r="B470">
        <v>0.19</v>
      </c>
      <c r="C470">
        <v>8082</v>
      </c>
      <c r="D470" t="s">
        <v>137</v>
      </c>
      <c r="E470" t="s">
        <v>54</v>
      </c>
      <c r="F470" t="s">
        <v>54</v>
      </c>
      <c r="G470">
        <v>3</v>
      </c>
      <c r="H470" t="s">
        <v>55</v>
      </c>
      <c r="I470">
        <v>141900</v>
      </c>
      <c r="J470">
        <v>27700</v>
      </c>
      <c r="K470">
        <v>0.19</v>
      </c>
      <c r="L47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70">
        <v>0</v>
      </c>
      <c r="N470">
        <v>0</v>
      </c>
      <c r="O470">
        <v>0</v>
      </c>
      <c r="P470">
        <v>47108.068500000001</v>
      </c>
      <c r="Q470">
        <v>122298</v>
      </c>
      <c r="R470">
        <f>(Granger_Inventory[[#This Row],[ln_acres]]*Granger_Inventory[[#This Row],[coeff]])+Granger_Inventory[[#This Row],[const]]</f>
        <v>44064.160548957996</v>
      </c>
      <c r="S470" t="s">
        <v>56</v>
      </c>
      <c r="T470">
        <v>1</v>
      </c>
      <c r="U470" t="s">
        <v>78</v>
      </c>
      <c r="V470" t="s">
        <v>79</v>
      </c>
      <c r="W470">
        <v>0</v>
      </c>
      <c r="X470">
        <v>0</v>
      </c>
      <c r="Y470">
        <v>46</v>
      </c>
      <c r="Z470">
        <v>53</v>
      </c>
      <c r="AA470">
        <v>60</v>
      </c>
      <c r="AB470">
        <v>1500</v>
      </c>
      <c r="AC470">
        <v>1456</v>
      </c>
      <c r="AD470">
        <v>1456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112</v>
      </c>
      <c r="AO470">
        <v>0</v>
      </c>
      <c r="AP470">
        <v>8</v>
      </c>
      <c r="AQ470">
        <v>0</v>
      </c>
      <c r="AR470">
        <v>0</v>
      </c>
      <c r="AS470" t="s">
        <v>59</v>
      </c>
      <c r="AT470">
        <v>1</v>
      </c>
      <c r="AU470" t="s">
        <v>76</v>
      </c>
      <c r="AV470" t="s">
        <v>65</v>
      </c>
      <c r="AW470">
        <v>0</v>
      </c>
      <c r="AX470">
        <v>5</v>
      </c>
      <c r="AY470">
        <v>0</v>
      </c>
      <c r="AZ470">
        <v>0</v>
      </c>
      <c r="BA470">
        <v>100</v>
      </c>
      <c r="BB470">
        <v>100</v>
      </c>
      <c r="BC470">
        <v>100</v>
      </c>
      <c r="BD470">
        <v>100</v>
      </c>
      <c r="BE470">
        <v>1</v>
      </c>
      <c r="BF470">
        <v>15000</v>
      </c>
      <c r="BG470">
        <v>1000</v>
      </c>
      <c r="BH470" s="8">
        <f>Granger_Inventory[[#This Row],[land_extract]]*Lookups!$B$3</f>
        <v>26250.377615159185</v>
      </c>
      <c r="BI470" s="8">
        <f>IF(Granger_Inventory[[#This Row],[bldg_style]]="",0,Lookups!$B$2)</f>
        <v>29703.559000000001</v>
      </c>
      <c r="BJ470" s="8">
        <f>_xlfn.IFNA(VLOOKUP(Granger_Inventory[[#This Row],[quality]],Lookups!$H$2:$J$14,3,FALSE),0)</f>
        <v>23737.786340274597</v>
      </c>
      <c r="BK470" s="8">
        <f>_xlfn.IFNA(VLOOKUP(Granger_Inventory[[#This Row],[condition]],Lookups!$H$17:$J$24,3,FALSE),0)</f>
        <v>86727</v>
      </c>
      <c r="BL470" s="8">
        <f>Granger_Inventory[[#This Row],[Age]]*Lookups!$B$16</f>
        <v>-10988.5483</v>
      </c>
      <c r="BM470" s="8">
        <f>Granger_Inventory[[#This Row],[living_area]]*Lookups!$B$17</f>
        <v>97949.355503999992</v>
      </c>
      <c r="BN470" s="8">
        <f>(Granger_Inventory[[#This Row],[att_gar]]+Granger_Inventory[[#This Row],[blt_gar]])*Lookups!$B$18</f>
        <v>0</v>
      </c>
      <c r="BO470" s="8">
        <f>Granger_Inventory[[#This Row],[Patio]]*Lookups!$B$19</f>
        <v>0</v>
      </c>
      <c r="BP470" s="8">
        <f>SUM(Granger_Inventory[[#This Row],[Intercept]:[Patio_Value]])*Granger_Inventory[[#This Row],[res_pct]]</f>
        <v>227129.15254427458</v>
      </c>
      <c r="BQ470" s="8">
        <f>Granger_Inventory[[#This Row],[land_value]]</f>
        <v>26250.377615159185</v>
      </c>
      <c r="BR470" s="4">
        <f>_xlfn.IFNA(VLOOKUP(Granger_Inventory[[#This Row],[quality]],Lookups!$A$25:$C$35,3,FALSE),1)</f>
        <v>0.77695375541795109</v>
      </c>
      <c r="BS470" s="4">
        <f>_xlfn.IFNA(VLOOKUP(Granger_Inventory[[#This Row],[condition]],Lookups!$A$38:$C$45,3,FALSE),1)</f>
        <v>0.85322907131620684</v>
      </c>
      <c r="BT470" s="4">
        <f>IF(Granger_Inventory[[#This Row],[decade]]="",1,_xlfn.IFNA(VLOOKUP(Granger_Inventory[[#This Row],[decade]],Lookups!$G$28:$I$42,3,FALSE),1))</f>
        <v>0.86581421791274704</v>
      </c>
      <c r="BU470" s="4">
        <f>_xlfn.IFNA(VLOOKUP(Granger_Inventory[[#This Row],[living_area_range]],Lookups!$A$48:$C$57,3,FALSE),1)</f>
        <v>0.97960506760539345</v>
      </c>
      <c r="BV470" s="4">
        <f>AVERAGE(Granger_Inventory[[#This Row],[qual_adj]:[living_range_adj]])</f>
        <v>0.86890052806307461</v>
      </c>
      <c r="BW470" s="8">
        <f>(Granger_Inventory[[#This Row],[sum_land]]-IF(Granger_Inventory[[#This Row],[no_utilities]]=1,12000,0))/IF(Granger_Inventory[[#This Row],[unbuildable]]=1,2,1)</f>
        <v>26250.377615159185</v>
      </c>
      <c r="BX470" s="8">
        <f>Granger_Inventory[[#This Row],[pre_res]]*Granger_Inventory[[#This Row],[overall_adj]]</f>
        <v>197352.6405842388</v>
      </c>
      <c r="BY47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70">
        <f>ROUND(Granger_Inventory[[#This Row],[detatched_value]]*Lookups!$I$45,-2)</f>
        <v>0</v>
      </c>
      <c r="CA470">
        <f>IF(ROUND(Granger_Inventory[[#This Row],[adj_res]]*Lookups!$I$45,-2)&lt;Granger_Inventory[[#This Row],[min_res]],Granger_Inventory[[#This Row],[min_res]],ROUND(Granger_Inventory[[#This Row],[adj_res]]*Lookups!$I$45,-2))</f>
        <v>187500</v>
      </c>
      <c r="CB470">
        <f>Granger_Inventory[[#This Row],[final_det]]+Granger_Inventory[[#This Row],[final_res]]</f>
        <v>187500</v>
      </c>
      <c r="CC470">
        <f>Granger_Inventory[[#This Row],[final_land]]+Granger_Inventory[[#This Row],[final_imp]]+Granger_Inventory[[#This Row],[crop_value]]</f>
        <v>212400</v>
      </c>
      <c r="CE470" t="str">
        <f t="shared" si="7"/>
        <v>update valuation set market_land =24900, market_bldg=187500, market_total =212400, market_mdno =402, market_date ='9/10/2023' where link_id = (select link_id from parcel where parcel_year = '2024' and parcel_id = '21102121428');</v>
      </c>
    </row>
    <row r="471" spans="1:83" x14ac:dyDescent="0.25">
      <c r="A471">
        <v>21102121429</v>
      </c>
      <c r="B471">
        <v>0.12</v>
      </c>
      <c r="C471" t="s">
        <v>137</v>
      </c>
      <c r="D471" t="s">
        <v>137</v>
      </c>
      <c r="E471" t="s">
        <v>54</v>
      </c>
      <c r="F471" t="s">
        <v>54</v>
      </c>
      <c r="G471">
        <v>3</v>
      </c>
      <c r="H471" t="s">
        <v>55</v>
      </c>
      <c r="I471">
        <v>89500</v>
      </c>
      <c r="J471">
        <v>25000</v>
      </c>
      <c r="K471">
        <v>0.12</v>
      </c>
      <c r="L471">
        <f>IF(Granger_Inventory[[#This Row],[parcel_acres]]-Granger_Inventory[[#This Row],[non_valued_acres]] =0,0,LN(Granger_Inventory[[#This Row],[parcel_acres]]-Granger_Inventory[[#This Row],[non_valued_acres]]))</f>
        <v>-2.120263536200091</v>
      </c>
      <c r="M471">
        <v>0</v>
      </c>
      <c r="N471">
        <v>0</v>
      </c>
      <c r="O471">
        <v>0</v>
      </c>
      <c r="P471">
        <v>47108.068500000001</v>
      </c>
      <c r="Q471">
        <v>122298</v>
      </c>
      <c r="R471">
        <f>(Granger_Inventory[[#This Row],[ln_acres]]*Granger_Inventory[[#This Row],[coeff]])+Granger_Inventory[[#This Row],[const]]</f>
        <v>22416.480098633881</v>
      </c>
      <c r="S471" t="s">
        <v>56</v>
      </c>
      <c r="T471">
        <v>1</v>
      </c>
      <c r="U471" t="s">
        <v>71</v>
      </c>
      <c r="V471" t="s">
        <v>79</v>
      </c>
      <c r="W471">
        <v>0</v>
      </c>
      <c r="X471">
        <v>0</v>
      </c>
      <c r="Y471">
        <v>46</v>
      </c>
      <c r="Z471">
        <v>53</v>
      </c>
      <c r="AA471">
        <v>60</v>
      </c>
      <c r="AB471">
        <v>1500</v>
      </c>
      <c r="AC471">
        <v>1056</v>
      </c>
      <c r="AD471">
        <v>1056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240</v>
      </c>
      <c r="AL471">
        <v>0</v>
      </c>
      <c r="AM471">
        <v>0</v>
      </c>
      <c r="AN471">
        <v>0</v>
      </c>
      <c r="AO471">
        <v>192</v>
      </c>
      <c r="AP471">
        <v>6</v>
      </c>
      <c r="AQ471">
        <v>0</v>
      </c>
      <c r="AR471">
        <v>0</v>
      </c>
      <c r="AS471" t="s">
        <v>59</v>
      </c>
      <c r="AT471">
        <v>1</v>
      </c>
      <c r="AU471" t="s">
        <v>60</v>
      </c>
      <c r="AV471" t="s">
        <v>61</v>
      </c>
      <c r="AW471">
        <v>0</v>
      </c>
      <c r="AX471">
        <v>3</v>
      </c>
      <c r="AY471">
        <v>0</v>
      </c>
      <c r="AZ471">
        <v>0</v>
      </c>
      <c r="BA471">
        <v>100</v>
      </c>
      <c r="BB471">
        <v>100</v>
      </c>
      <c r="BC471">
        <v>100</v>
      </c>
      <c r="BD471">
        <v>100</v>
      </c>
      <c r="BE471">
        <v>1</v>
      </c>
      <c r="BF471">
        <v>15000</v>
      </c>
      <c r="BG471">
        <v>1000</v>
      </c>
      <c r="BH471" s="8">
        <f>Granger_Inventory[[#This Row],[land_extract]]*Lookups!$B$3</f>
        <v>13354.187622343241</v>
      </c>
      <c r="BI471" s="8">
        <f>IF(Granger_Inventory[[#This Row],[bldg_style]]="",0,Lookups!$B$2)</f>
        <v>29703.559000000001</v>
      </c>
      <c r="BJ471" s="8">
        <f>_xlfn.IFNA(VLOOKUP(Granger_Inventory[[#This Row],[quality]],Lookups!$H$2:$J$14,3,FALSE),0)</f>
        <v>34195</v>
      </c>
      <c r="BK471" s="8">
        <f>_xlfn.IFNA(VLOOKUP(Granger_Inventory[[#This Row],[condition]],Lookups!$H$17:$J$24,3,FALSE),0)</f>
        <v>86727</v>
      </c>
      <c r="BL471" s="8">
        <f>Granger_Inventory[[#This Row],[Age]]*Lookups!$B$16</f>
        <v>-10988.5483</v>
      </c>
      <c r="BM471" s="8">
        <f>Granger_Inventory[[#This Row],[living_area]]*Lookups!$B$17</f>
        <v>71040.191903999992</v>
      </c>
      <c r="BN471" s="8">
        <f>(Granger_Inventory[[#This Row],[att_gar]]+Granger_Inventory[[#This Row],[blt_gar]])*Lookups!$B$18</f>
        <v>0</v>
      </c>
      <c r="BO471" s="8">
        <f>Granger_Inventory[[#This Row],[Patio]]*Lookups!$B$19</f>
        <v>0</v>
      </c>
      <c r="BP471" s="8">
        <f>SUM(Granger_Inventory[[#This Row],[Intercept]:[Patio_Value]])*Granger_Inventory[[#This Row],[res_pct]]</f>
        <v>210677.20260399999</v>
      </c>
      <c r="BQ471" s="8">
        <f>Granger_Inventory[[#This Row],[land_value]]</f>
        <v>13354.187622343241</v>
      </c>
      <c r="BR471" s="4">
        <f>_xlfn.IFNA(VLOOKUP(Granger_Inventory[[#This Row],[quality]],Lookups!$A$25:$C$35,3,FALSE),1)</f>
        <v>0.98258795897788032</v>
      </c>
      <c r="BS471" s="4">
        <f>_xlfn.IFNA(VLOOKUP(Granger_Inventory[[#This Row],[condition]],Lookups!$A$38:$C$45,3,FALSE),1)</f>
        <v>0.85322907131620684</v>
      </c>
      <c r="BT471" s="4">
        <f>IF(Granger_Inventory[[#This Row],[decade]]="",1,_xlfn.IFNA(VLOOKUP(Granger_Inventory[[#This Row],[decade]],Lookups!$G$28:$I$42,3,FALSE),1))</f>
        <v>0.86581421791274704</v>
      </c>
      <c r="BU471" s="4">
        <f>_xlfn.IFNA(VLOOKUP(Granger_Inventory[[#This Row],[living_area_range]],Lookups!$A$48:$C$57,3,FALSE),1)</f>
        <v>0.97960506760539345</v>
      </c>
      <c r="BV471" s="4">
        <f>AVERAGE(Granger_Inventory[[#This Row],[qual_adj]:[living_range_adj]])</f>
        <v>0.92030907895305702</v>
      </c>
      <c r="BW471" s="8">
        <f>(Granger_Inventory[[#This Row],[sum_land]]-IF(Granger_Inventory[[#This Row],[no_utilities]]=1,12000,0))/IF(Granger_Inventory[[#This Row],[unbuildable]]=1,2,1)</f>
        <v>13354.187622343241</v>
      </c>
      <c r="BX471" s="8">
        <f>Granger_Inventory[[#This Row],[pre_res]]*Granger_Inventory[[#This Row],[overall_adj]]</f>
        <v>193888.14228489381</v>
      </c>
      <c r="BY471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471">
        <f>ROUND(Granger_Inventory[[#This Row],[detatched_value]]*Lookups!$I$45,-2)</f>
        <v>0</v>
      </c>
      <c r="CA471">
        <f>IF(ROUND(Granger_Inventory[[#This Row],[adj_res]]*Lookups!$I$45,-2)&lt;Granger_Inventory[[#This Row],[min_res]],Granger_Inventory[[#This Row],[min_res]],ROUND(Granger_Inventory[[#This Row],[adj_res]]*Lookups!$I$45,-2))</f>
        <v>184200</v>
      </c>
      <c r="CB471">
        <f>Granger_Inventory[[#This Row],[final_det]]+Granger_Inventory[[#This Row],[final_res]]</f>
        <v>184200</v>
      </c>
      <c r="CC471">
        <f>Granger_Inventory[[#This Row],[final_land]]+Granger_Inventory[[#This Row],[final_imp]]+Granger_Inventory[[#This Row],[crop_value]]</f>
        <v>199200</v>
      </c>
      <c r="CE471" t="str">
        <f t="shared" si="7"/>
        <v>update valuation set market_land =15000, market_bldg=184200, market_total =199200, market_mdno =402, market_date ='9/10/2023' where link_id = (select link_id from parcel where parcel_year = '2024' and parcel_id = '21102121429');</v>
      </c>
    </row>
    <row r="472" spans="1:83" x14ac:dyDescent="0.25">
      <c r="A472">
        <v>21102121430</v>
      </c>
      <c r="B472">
        <v>0.22</v>
      </c>
      <c r="C472">
        <v>9612</v>
      </c>
      <c r="D472" t="s">
        <v>137</v>
      </c>
      <c r="E472" t="s">
        <v>54</v>
      </c>
      <c r="F472" t="s">
        <v>54</v>
      </c>
      <c r="G472">
        <v>3</v>
      </c>
      <c r="H472" t="s">
        <v>55</v>
      </c>
      <c r="I472">
        <v>208300</v>
      </c>
      <c r="J472">
        <v>28600</v>
      </c>
      <c r="K472">
        <v>0.22</v>
      </c>
      <c r="L472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72">
        <v>0</v>
      </c>
      <c r="N472">
        <v>0</v>
      </c>
      <c r="O472">
        <v>0</v>
      </c>
      <c r="P472">
        <v>47108.068500000001</v>
      </c>
      <c r="Q472">
        <v>122298</v>
      </c>
      <c r="R472">
        <f>(Granger_Inventory[[#This Row],[ln_acres]]*Granger_Inventory[[#This Row],[coeff]])+Granger_Inventory[[#This Row],[const]]</f>
        <v>50970.367053526847</v>
      </c>
      <c r="S472" t="s">
        <v>56</v>
      </c>
      <c r="T472">
        <v>1</v>
      </c>
      <c r="U472" t="s">
        <v>64</v>
      </c>
      <c r="V472" t="s">
        <v>77</v>
      </c>
      <c r="W472">
        <v>0</v>
      </c>
      <c r="X472">
        <v>0</v>
      </c>
      <c r="Y472">
        <v>45</v>
      </c>
      <c r="Z472">
        <v>51</v>
      </c>
      <c r="AA472">
        <v>60</v>
      </c>
      <c r="AB472">
        <v>2000</v>
      </c>
      <c r="AC472">
        <v>1620</v>
      </c>
      <c r="AD472">
        <v>1620</v>
      </c>
      <c r="AE472">
        <v>0</v>
      </c>
      <c r="AF472">
        <v>0</v>
      </c>
      <c r="AG472">
        <v>0</v>
      </c>
      <c r="AH472">
        <v>0</v>
      </c>
      <c r="AI472">
        <v>240</v>
      </c>
      <c r="AJ472">
        <v>0</v>
      </c>
      <c r="AK472">
        <v>576</v>
      </c>
      <c r="AL472">
        <v>0</v>
      </c>
      <c r="AM472">
        <v>224</v>
      </c>
      <c r="AN472">
        <v>392</v>
      </c>
      <c r="AO472">
        <v>224</v>
      </c>
      <c r="AP472">
        <v>11</v>
      </c>
      <c r="AQ472">
        <v>1</v>
      </c>
      <c r="AR472">
        <v>0</v>
      </c>
      <c r="AS472" t="s">
        <v>59</v>
      </c>
      <c r="AT472">
        <v>1</v>
      </c>
      <c r="AU472" t="s">
        <v>76</v>
      </c>
      <c r="AV472" t="s">
        <v>65</v>
      </c>
      <c r="AW472">
        <v>0</v>
      </c>
      <c r="AX472">
        <v>4</v>
      </c>
      <c r="AY472">
        <v>0</v>
      </c>
      <c r="AZ472">
        <v>3700</v>
      </c>
      <c r="BA472">
        <v>100</v>
      </c>
      <c r="BB472">
        <v>100</v>
      </c>
      <c r="BC472">
        <v>100</v>
      </c>
      <c r="BD472">
        <v>100</v>
      </c>
      <c r="BE472">
        <v>1</v>
      </c>
      <c r="BF472">
        <v>15000</v>
      </c>
      <c r="BG472">
        <v>1000</v>
      </c>
      <c r="BH472" s="8">
        <f>Granger_Inventory[[#This Row],[land_extract]]*Lookups!$B$3</f>
        <v>30364.617541091193</v>
      </c>
      <c r="BI472" s="8">
        <f>IF(Granger_Inventory[[#This Row],[bldg_style]]="",0,Lookups!$B$2)</f>
        <v>29703.559000000001</v>
      </c>
      <c r="BJ472" s="8">
        <f>_xlfn.IFNA(VLOOKUP(Granger_Inventory[[#This Row],[quality]],Lookups!$H$2:$J$14,3,FALSE),0)</f>
        <v>36568</v>
      </c>
      <c r="BK472" s="8">
        <f>_xlfn.IFNA(VLOOKUP(Granger_Inventory[[#This Row],[condition]],Lookups!$H$17:$J$24,3,FALSE),0)</f>
        <v>33736</v>
      </c>
      <c r="BL472" s="8">
        <f>Granger_Inventory[[#This Row],[Age]]*Lookups!$B$16</f>
        <v>-10573.8861</v>
      </c>
      <c r="BM472" s="8">
        <f>Granger_Inventory[[#This Row],[living_area]]*Lookups!$B$17</f>
        <v>108982.11258</v>
      </c>
      <c r="BN472" s="8">
        <f>(Granger_Inventory[[#This Row],[att_gar]]+Granger_Inventory[[#This Row],[blt_gar]])*Lookups!$B$18</f>
        <v>11627.42064</v>
      </c>
      <c r="BO472" s="8">
        <f>Granger_Inventory[[#This Row],[Patio]]*Lookups!$B$19</f>
        <v>12166.581504</v>
      </c>
      <c r="BP472" s="8">
        <f>SUM(Granger_Inventory[[#This Row],[Intercept]:[Patio_Value]])*Granger_Inventory[[#This Row],[res_pct]]</f>
        <v>222209.78762400002</v>
      </c>
      <c r="BQ472" s="8">
        <f>Granger_Inventory[[#This Row],[land_value]]</f>
        <v>30364.617541091193</v>
      </c>
      <c r="BR472" s="4">
        <f>_xlfn.IFNA(VLOOKUP(Granger_Inventory[[#This Row],[quality]],Lookups!$A$25:$C$35,3,FALSE),1)</f>
        <v>0.99049976351917957</v>
      </c>
      <c r="BS472" s="4">
        <f>_xlfn.IFNA(VLOOKUP(Granger_Inventory[[#This Row],[condition]],Lookups!$A$38:$C$45,3,FALSE),1)</f>
        <v>0.92294678898076177</v>
      </c>
      <c r="BT472" s="4">
        <f>IF(Granger_Inventory[[#This Row],[decade]]="",1,_xlfn.IFNA(VLOOKUP(Granger_Inventory[[#This Row],[decade]],Lookups!$G$28:$I$42,3,FALSE),1))</f>
        <v>0.86581421791274704</v>
      </c>
      <c r="BU472" s="4">
        <f>_xlfn.IFNA(VLOOKUP(Granger_Inventory[[#This Row],[living_area_range]],Lookups!$A$48:$C$57,3,FALSE),1)</f>
        <v>0.97860968051050168</v>
      </c>
      <c r="BV472" s="4">
        <f>AVERAGE(Granger_Inventory[[#This Row],[qual_adj]:[living_range_adj]])</f>
        <v>0.93946761273079749</v>
      </c>
      <c r="BW472" s="8">
        <f>(Granger_Inventory[[#This Row],[sum_land]]-IF(Granger_Inventory[[#This Row],[no_utilities]]=1,12000,0))/IF(Granger_Inventory[[#This Row],[unbuildable]]=1,2,1)</f>
        <v>30364.617541091193</v>
      </c>
      <c r="BX472" s="8">
        <f>Granger_Inventory[[#This Row],[pre_res]]*Granger_Inventory[[#This Row],[overall_adj]]</f>
        <v>208758.89870453681</v>
      </c>
      <c r="BY472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72">
        <f>ROUND(Granger_Inventory[[#This Row],[detatched_value]]*Lookups!$I$45,-2)</f>
        <v>3500</v>
      </c>
      <c r="CA472">
        <f>IF(ROUND(Granger_Inventory[[#This Row],[adj_res]]*Lookups!$I$45,-2)&lt;Granger_Inventory[[#This Row],[min_res]],Granger_Inventory[[#This Row],[min_res]],ROUND(Granger_Inventory[[#This Row],[adj_res]]*Lookups!$I$45,-2))</f>
        <v>198300</v>
      </c>
      <c r="CB472">
        <f>Granger_Inventory[[#This Row],[final_det]]+Granger_Inventory[[#This Row],[final_res]]</f>
        <v>201800</v>
      </c>
      <c r="CC472">
        <f>Granger_Inventory[[#This Row],[final_land]]+Granger_Inventory[[#This Row],[final_imp]]+Granger_Inventory[[#This Row],[crop_value]]</f>
        <v>230600</v>
      </c>
      <c r="CE472" t="str">
        <f t="shared" si="7"/>
        <v>update valuation set market_land =28800, market_bldg=201800, market_total =230600, market_mdno =402, market_date ='9/10/2023' where link_id = (select link_id from parcel where parcel_year = '2024' and parcel_id = '21102121430');</v>
      </c>
    </row>
    <row r="473" spans="1:83" x14ac:dyDescent="0.25">
      <c r="A473">
        <v>21102121431</v>
      </c>
      <c r="B473">
        <v>0.14000000000000001</v>
      </c>
      <c r="C473">
        <v>5896</v>
      </c>
      <c r="D473" t="s">
        <v>137</v>
      </c>
      <c r="E473" t="s">
        <v>54</v>
      </c>
      <c r="F473" t="s">
        <v>54</v>
      </c>
      <c r="G473">
        <v>3</v>
      </c>
      <c r="H473" t="s">
        <v>55</v>
      </c>
      <c r="I473">
        <v>150700</v>
      </c>
      <c r="J473">
        <v>25900</v>
      </c>
      <c r="K473">
        <v>0.14000000000000001</v>
      </c>
      <c r="L47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473">
        <v>0</v>
      </c>
      <c r="N473">
        <v>0</v>
      </c>
      <c r="O473">
        <v>0</v>
      </c>
      <c r="P473">
        <v>47108.068500000001</v>
      </c>
      <c r="Q473">
        <v>122298</v>
      </c>
      <c r="R473">
        <f>(Granger_Inventory[[#This Row],[ln_acres]]*Granger_Inventory[[#This Row],[coeff]])+Granger_Inventory[[#This Row],[const]]</f>
        <v>29678.220883257934</v>
      </c>
      <c r="S473" t="s">
        <v>69</v>
      </c>
      <c r="T473">
        <v>1</v>
      </c>
      <c r="U473" t="s">
        <v>64</v>
      </c>
      <c r="V473" t="s">
        <v>77</v>
      </c>
      <c r="W473">
        <v>0</v>
      </c>
      <c r="X473">
        <v>0</v>
      </c>
      <c r="Y473">
        <v>51</v>
      </c>
      <c r="Z473">
        <v>78</v>
      </c>
      <c r="AA473">
        <v>80</v>
      </c>
      <c r="AB473">
        <v>1500</v>
      </c>
      <c r="AC473">
        <v>1390</v>
      </c>
      <c r="AD473">
        <v>1390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12</v>
      </c>
      <c r="AO473">
        <v>0</v>
      </c>
      <c r="AP473">
        <v>8</v>
      </c>
      <c r="AQ473">
        <v>0</v>
      </c>
      <c r="AR473">
        <v>1</v>
      </c>
      <c r="AS473" t="s">
        <v>59</v>
      </c>
      <c r="AT473">
        <v>1</v>
      </c>
      <c r="AU473" t="s">
        <v>60</v>
      </c>
      <c r="AV473" t="s">
        <v>61</v>
      </c>
      <c r="AW473">
        <v>1</v>
      </c>
      <c r="AX473">
        <v>3</v>
      </c>
      <c r="AY473">
        <v>0</v>
      </c>
      <c r="AZ473">
        <v>0</v>
      </c>
      <c r="BA473">
        <v>100</v>
      </c>
      <c r="BB473">
        <v>100</v>
      </c>
      <c r="BC473">
        <v>100</v>
      </c>
      <c r="BD473">
        <v>100</v>
      </c>
      <c r="BE473">
        <v>1</v>
      </c>
      <c r="BF473">
        <v>15000</v>
      </c>
      <c r="BG473">
        <v>1000</v>
      </c>
      <c r="BH473" s="8">
        <f>Granger_Inventory[[#This Row],[land_extract]]*Lookups!$B$3</f>
        <v>17680.230269359956</v>
      </c>
      <c r="BI473" s="8">
        <f>IF(Granger_Inventory[[#This Row],[bldg_style]]="",0,Lookups!$B$2)</f>
        <v>29703.559000000001</v>
      </c>
      <c r="BJ473" s="8">
        <f>_xlfn.IFNA(VLOOKUP(Granger_Inventory[[#This Row],[quality]],Lookups!$H$2:$J$14,3,FALSE),0)</f>
        <v>36568</v>
      </c>
      <c r="BK473" s="8">
        <f>_xlfn.IFNA(VLOOKUP(Granger_Inventory[[#This Row],[condition]],Lookups!$H$17:$J$24,3,FALSE),0)</f>
        <v>33736</v>
      </c>
      <c r="BL473" s="8">
        <f>Granger_Inventory[[#This Row],[Age]]*Lookups!$B$16</f>
        <v>-16171.825799999999</v>
      </c>
      <c r="BM473" s="8">
        <f>Granger_Inventory[[#This Row],[living_area]]*Lookups!$B$17</f>
        <v>93509.343509999992</v>
      </c>
      <c r="BN473" s="8">
        <f>(Granger_Inventory[[#This Row],[att_gar]]+Granger_Inventory[[#This Row],[blt_gar]])*Lookups!$B$18</f>
        <v>0</v>
      </c>
      <c r="BO473" s="8">
        <f>Granger_Inventory[[#This Row],[Patio]]*Lookups!$B$19</f>
        <v>0</v>
      </c>
      <c r="BP473" s="8">
        <f>SUM(Granger_Inventory[[#This Row],[Intercept]:[Patio_Value]])*Granger_Inventory[[#This Row],[res_pct]]</f>
        <v>177345.07670999999</v>
      </c>
      <c r="BQ473" s="8">
        <f>Granger_Inventory[[#This Row],[land_value]]</f>
        <v>17680.230269359956</v>
      </c>
      <c r="BR473" s="4">
        <f>_xlfn.IFNA(VLOOKUP(Granger_Inventory[[#This Row],[quality]],Lookups!$A$25:$C$35,3,FALSE),1)</f>
        <v>0.99049976351917957</v>
      </c>
      <c r="BS473" s="4">
        <f>_xlfn.IFNA(VLOOKUP(Granger_Inventory[[#This Row],[condition]],Lookups!$A$38:$C$45,3,FALSE),1)</f>
        <v>0.92294678898076177</v>
      </c>
      <c r="BT473" s="4">
        <f>IF(Granger_Inventory[[#This Row],[decade]]="",1,_xlfn.IFNA(VLOOKUP(Granger_Inventory[[#This Row],[decade]],Lookups!$G$28:$I$42,3,FALSE),1))</f>
        <v>0.76006056002554967</v>
      </c>
      <c r="BU473" s="4">
        <f>_xlfn.IFNA(VLOOKUP(Granger_Inventory[[#This Row],[living_area_range]],Lookups!$A$48:$C$57,3,FALSE),1)</f>
        <v>0.97960506760539345</v>
      </c>
      <c r="BV473" s="4">
        <f>AVERAGE(Granger_Inventory[[#This Row],[qual_adj]:[living_range_adj]])</f>
        <v>0.91327804503272114</v>
      </c>
      <c r="BW473" s="8">
        <f>(Granger_Inventory[[#This Row],[sum_land]]-IF(Granger_Inventory[[#This Row],[no_utilities]]=1,12000,0))/IF(Granger_Inventory[[#This Row],[unbuildable]]=1,2,1)</f>
        <v>17680.230269359956</v>
      </c>
      <c r="BX473" s="8">
        <f>Granger_Inventory[[#This Row],[pre_res]]*Granger_Inventory[[#This Row],[overall_adj]]</f>
        <v>161965.36495388675</v>
      </c>
      <c r="BY47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473">
        <f>ROUND(Granger_Inventory[[#This Row],[detatched_value]]*Lookups!$I$45,-2)</f>
        <v>0</v>
      </c>
      <c r="CA473">
        <f>IF(ROUND(Granger_Inventory[[#This Row],[adj_res]]*Lookups!$I$45,-2)&lt;Granger_Inventory[[#This Row],[min_res]],Granger_Inventory[[#This Row],[min_res]],ROUND(Granger_Inventory[[#This Row],[adj_res]]*Lookups!$I$45,-2))</f>
        <v>153900</v>
      </c>
      <c r="CB473">
        <f>Granger_Inventory[[#This Row],[final_det]]+Granger_Inventory[[#This Row],[final_res]]</f>
        <v>153900</v>
      </c>
      <c r="CC473">
        <f>Granger_Inventory[[#This Row],[final_land]]+Granger_Inventory[[#This Row],[final_imp]]+Granger_Inventory[[#This Row],[crop_value]]</f>
        <v>170700</v>
      </c>
      <c r="CE473" t="str">
        <f t="shared" si="7"/>
        <v>update valuation set market_land =16800, market_bldg=153900, market_total =170700, market_mdno =402, market_date ='9/10/2023' where link_id = (select link_id from parcel where parcel_year = '2024' and parcel_id = '21102121431');</v>
      </c>
    </row>
    <row r="474" spans="1:83" x14ac:dyDescent="0.25">
      <c r="A474">
        <v>21102121433</v>
      </c>
      <c r="B474">
        <v>0.23</v>
      </c>
      <c r="C474">
        <v>9900</v>
      </c>
      <c r="D474" t="s">
        <v>137</v>
      </c>
      <c r="E474" t="s">
        <v>54</v>
      </c>
      <c r="F474" t="s">
        <v>54</v>
      </c>
      <c r="G474">
        <v>3</v>
      </c>
      <c r="H474" t="s">
        <v>55</v>
      </c>
      <c r="I474">
        <v>102000</v>
      </c>
      <c r="J474">
        <v>28900</v>
      </c>
      <c r="K474">
        <v>0.23</v>
      </c>
      <c r="L474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474">
        <v>0</v>
      </c>
      <c r="N474">
        <v>0</v>
      </c>
      <c r="O474">
        <v>0</v>
      </c>
      <c r="P474">
        <v>47108.068500000001</v>
      </c>
      <c r="Q474">
        <v>122298</v>
      </c>
      <c r="R474">
        <f>(Granger_Inventory[[#This Row],[ln_acres]]*Granger_Inventory[[#This Row],[coeff]])+Granger_Inventory[[#This Row],[const]]</f>
        <v>53064.403729659418</v>
      </c>
      <c r="S474" t="s">
        <v>69</v>
      </c>
      <c r="T474">
        <v>1</v>
      </c>
      <c r="U474" t="s">
        <v>64</v>
      </c>
      <c r="V474" t="s">
        <v>77</v>
      </c>
      <c r="W474">
        <v>0</v>
      </c>
      <c r="X474">
        <v>0</v>
      </c>
      <c r="Y474">
        <v>51</v>
      </c>
      <c r="Z474">
        <v>78</v>
      </c>
      <c r="AA474">
        <v>80</v>
      </c>
      <c r="AB474">
        <v>1500</v>
      </c>
      <c r="AC474">
        <v>1032</v>
      </c>
      <c r="AD474">
        <v>1032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120</v>
      </c>
      <c r="AN474">
        <v>33</v>
      </c>
      <c r="AO474">
        <v>120</v>
      </c>
      <c r="AP474">
        <v>5</v>
      </c>
      <c r="AQ474">
        <v>0</v>
      </c>
      <c r="AR474">
        <v>0</v>
      </c>
      <c r="AS474" t="s">
        <v>59</v>
      </c>
      <c r="AT474">
        <v>1</v>
      </c>
      <c r="AU474" t="s">
        <v>60</v>
      </c>
      <c r="AV474" t="s">
        <v>65</v>
      </c>
      <c r="AW474">
        <v>1</v>
      </c>
      <c r="AX474">
        <v>2</v>
      </c>
      <c r="AY474">
        <v>0</v>
      </c>
      <c r="AZ474">
        <v>6800</v>
      </c>
      <c r="BA474">
        <v>100</v>
      </c>
      <c r="BB474">
        <v>100</v>
      </c>
      <c r="BC474">
        <v>100</v>
      </c>
      <c r="BD474">
        <v>100</v>
      </c>
      <c r="BE474">
        <v>1</v>
      </c>
      <c r="BF474">
        <v>15000</v>
      </c>
      <c r="BG474">
        <v>1000</v>
      </c>
      <c r="BH474" s="8">
        <f>Granger_Inventory[[#This Row],[land_extract]]*Lookups!$B$3</f>
        <v>31612.09968539299</v>
      </c>
      <c r="BI474" s="8">
        <f>IF(Granger_Inventory[[#This Row],[bldg_style]]="",0,Lookups!$B$2)</f>
        <v>29703.559000000001</v>
      </c>
      <c r="BJ474" s="8">
        <f>_xlfn.IFNA(VLOOKUP(Granger_Inventory[[#This Row],[quality]],Lookups!$H$2:$J$14,3,FALSE),0)</f>
        <v>36568</v>
      </c>
      <c r="BK474" s="8">
        <f>_xlfn.IFNA(VLOOKUP(Granger_Inventory[[#This Row],[condition]],Lookups!$H$17:$J$24,3,FALSE),0)</f>
        <v>33736</v>
      </c>
      <c r="BL474" s="8">
        <f>Granger_Inventory[[#This Row],[Age]]*Lookups!$B$16</f>
        <v>-16171.825799999999</v>
      </c>
      <c r="BM474" s="8">
        <f>Granger_Inventory[[#This Row],[living_area]]*Lookups!$B$17</f>
        <v>69425.642087999993</v>
      </c>
      <c r="BN474" s="8">
        <f>(Granger_Inventory[[#This Row],[att_gar]]+Granger_Inventory[[#This Row],[blt_gar]])*Lookups!$B$18</f>
        <v>0</v>
      </c>
      <c r="BO474" s="8">
        <f>Granger_Inventory[[#This Row],[Patio]]*Lookups!$B$19</f>
        <v>6517.8115199999993</v>
      </c>
      <c r="BP474" s="8">
        <f>SUM(Granger_Inventory[[#This Row],[Intercept]:[Patio_Value]])*Granger_Inventory[[#This Row],[res_pct]]</f>
        <v>159779.186808</v>
      </c>
      <c r="BQ474" s="8">
        <f>Granger_Inventory[[#This Row],[land_value]]</f>
        <v>31612.09968539299</v>
      </c>
      <c r="BR474" s="4">
        <f>_xlfn.IFNA(VLOOKUP(Granger_Inventory[[#This Row],[quality]],Lookups!$A$25:$C$35,3,FALSE),1)</f>
        <v>0.99049976351917957</v>
      </c>
      <c r="BS474" s="4">
        <f>_xlfn.IFNA(VLOOKUP(Granger_Inventory[[#This Row],[condition]],Lookups!$A$38:$C$45,3,FALSE),1)</f>
        <v>0.92294678898076177</v>
      </c>
      <c r="BT474" s="4">
        <f>IF(Granger_Inventory[[#This Row],[decade]]="",1,_xlfn.IFNA(VLOOKUP(Granger_Inventory[[#This Row],[decade]],Lookups!$G$28:$I$42,3,FALSE),1))</f>
        <v>0.76006056002554967</v>
      </c>
      <c r="BU474" s="4">
        <f>_xlfn.IFNA(VLOOKUP(Granger_Inventory[[#This Row],[living_area_range]],Lookups!$A$48:$C$57,3,FALSE),1)</f>
        <v>0.97960506760539345</v>
      </c>
      <c r="BV474" s="4">
        <f>AVERAGE(Granger_Inventory[[#This Row],[qual_adj]:[living_range_adj]])</f>
        <v>0.91327804503272114</v>
      </c>
      <c r="BW474" s="8">
        <f>(Granger_Inventory[[#This Row],[sum_land]]-IF(Granger_Inventory[[#This Row],[no_utilities]]=1,12000,0))/IF(Granger_Inventory[[#This Row],[unbuildable]]=1,2,1)</f>
        <v>31612.09968539299</v>
      </c>
      <c r="BX474" s="8">
        <f>Granger_Inventory[[#This Row],[pre_res]]*Granger_Inventory[[#This Row],[overall_adj]]</f>
        <v>145922.82336492819</v>
      </c>
      <c r="BY474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474">
        <f>ROUND(Granger_Inventory[[#This Row],[detatched_value]]*Lookups!$I$45,-2)</f>
        <v>6500</v>
      </c>
      <c r="CA474">
        <f>IF(ROUND(Granger_Inventory[[#This Row],[adj_res]]*Lookups!$I$45,-2)&lt;Granger_Inventory[[#This Row],[min_res]],Granger_Inventory[[#This Row],[min_res]],ROUND(Granger_Inventory[[#This Row],[adj_res]]*Lookups!$I$45,-2))</f>
        <v>138600</v>
      </c>
      <c r="CB474">
        <f>Granger_Inventory[[#This Row],[final_det]]+Granger_Inventory[[#This Row],[final_res]]</f>
        <v>145100</v>
      </c>
      <c r="CC474">
        <f>Granger_Inventory[[#This Row],[final_land]]+Granger_Inventory[[#This Row],[final_imp]]+Granger_Inventory[[#This Row],[crop_value]]</f>
        <v>175100</v>
      </c>
      <c r="CE474" t="str">
        <f t="shared" si="7"/>
        <v>update valuation set market_land =30000, market_bldg=145100, market_total =175100, market_mdno =402, market_date ='9/10/2023' where link_id = (select link_id from parcel where parcel_year = '2024' and parcel_id = '21102121433');</v>
      </c>
    </row>
    <row r="475" spans="1:83" x14ac:dyDescent="0.25">
      <c r="A475">
        <v>21102121434</v>
      </c>
      <c r="B475">
        <v>0.22</v>
      </c>
      <c r="C475">
        <v>9705</v>
      </c>
      <c r="D475" t="s">
        <v>137</v>
      </c>
      <c r="E475" t="s">
        <v>54</v>
      </c>
      <c r="F475" t="s">
        <v>54</v>
      </c>
      <c r="G475">
        <v>3</v>
      </c>
      <c r="H475" t="s">
        <v>55</v>
      </c>
      <c r="I475">
        <v>292000</v>
      </c>
      <c r="J475">
        <v>28600</v>
      </c>
      <c r="K475">
        <v>0.22</v>
      </c>
      <c r="L475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75">
        <v>0</v>
      </c>
      <c r="N475">
        <v>0</v>
      </c>
      <c r="O475">
        <v>0</v>
      </c>
      <c r="P475">
        <v>47108.068500000001</v>
      </c>
      <c r="Q475">
        <v>122298</v>
      </c>
      <c r="R475">
        <f>(Granger_Inventory[[#This Row],[ln_acres]]*Granger_Inventory[[#This Row],[coeff]])+Granger_Inventory[[#This Row],[const]]</f>
        <v>50970.367053526847</v>
      </c>
      <c r="S475" t="s">
        <v>69</v>
      </c>
      <c r="T475">
        <v>1</v>
      </c>
      <c r="U475" t="s">
        <v>64</v>
      </c>
      <c r="V475" t="s">
        <v>70</v>
      </c>
      <c r="W475">
        <v>0</v>
      </c>
      <c r="X475">
        <v>0</v>
      </c>
      <c r="Y475">
        <v>50</v>
      </c>
      <c r="Z475">
        <v>73</v>
      </c>
      <c r="AA475">
        <v>80</v>
      </c>
      <c r="AB475">
        <v>2000</v>
      </c>
      <c r="AC475">
        <v>1800</v>
      </c>
      <c r="AD475">
        <v>1800</v>
      </c>
      <c r="AE475">
        <v>0</v>
      </c>
      <c r="AF475">
        <v>0</v>
      </c>
      <c r="AG475">
        <v>0</v>
      </c>
      <c r="AH475">
        <v>0</v>
      </c>
      <c r="AI475">
        <v>480</v>
      </c>
      <c r="AJ475">
        <v>0</v>
      </c>
      <c r="AK475">
        <v>480</v>
      </c>
      <c r="AL475">
        <v>0</v>
      </c>
      <c r="AM475">
        <v>432</v>
      </c>
      <c r="AN475">
        <v>95</v>
      </c>
      <c r="AO475">
        <v>540</v>
      </c>
      <c r="AP475">
        <v>9</v>
      </c>
      <c r="AQ475">
        <v>0</v>
      </c>
      <c r="AR475">
        <v>1</v>
      </c>
      <c r="AS475" t="s">
        <v>59</v>
      </c>
      <c r="AT475">
        <v>1</v>
      </c>
      <c r="AU475" t="s">
        <v>63</v>
      </c>
      <c r="AV475" t="s">
        <v>65</v>
      </c>
      <c r="AW475">
        <v>1</v>
      </c>
      <c r="AX475">
        <v>3</v>
      </c>
      <c r="AY475">
        <v>0</v>
      </c>
      <c r="AZ475">
        <v>0</v>
      </c>
      <c r="BA475">
        <v>100</v>
      </c>
      <c r="BB475">
        <v>100</v>
      </c>
      <c r="BC475">
        <v>100</v>
      </c>
      <c r="BD475">
        <v>100</v>
      </c>
      <c r="BE475">
        <v>1</v>
      </c>
      <c r="BF475">
        <v>15000</v>
      </c>
      <c r="BG475">
        <v>1000</v>
      </c>
      <c r="BH475" s="8">
        <f>Granger_Inventory[[#This Row],[land_extract]]*Lookups!$B$3</f>
        <v>30364.617541091193</v>
      </c>
      <c r="BI475" s="8">
        <f>IF(Granger_Inventory[[#This Row],[bldg_style]]="",0,Lookups!$B$2)</f>
        <v>29703.559000000001</v>
      </c>
      <c r="BJ475" s="8">
        <f>_xlfn.IFNA(VLOOKUP(Granger_Inventory[[#This Row],[quality]],Lookups!$H$2:$J$14,3,FALSE),0)</f>
        <v>36568</v>
      </c>
      <c r="BK475" s="8">
        <f>_xlfn.IFNA(VLOOKUP(Granger_Inventory[[#This Row],[condition]],Lookups!$H$17:$J$24,3,FALSE),0)</f>
        <v>80695</v>
      </c>
      <c r="BL475" s="8">
        <f>Granger_Inventory[[#This Row],[Age]]*Lookups!$B$16</f>
        <v>-15135.1703</v>
      </c>
      <c r="BM475" s="8">
        <f>Granger_Inventory[[#This Row],[living_area]]*Lookups!$B$17</f>
        <v>121091.2362</v>
      </c>
      <c r="BN475" s="8">
        <f>(Granger_Inventory[[#This Row],[att_gar]]+Granger_Inventory[[#This Row],[blt_gar]])*Lookups!$B$18</f>
        <v>23254.841280000001</v>
      </c>
      <c r="BO475" s="8">
        <f>Granger_Inventory[[#This Row],[Patio]]*Lookups!$B$19</f>
        <v>23464.121471999999</v>
      </c>
      <c r="BP475" s="8">
        <f>SUM(Granger_Inventory[[#This Row],[Intercept]:[Patio_Value]])*Granger_Inventory[[#This Row],[res_pct]]</f>
        <v>299641.58765200002</v>
      </c>
      <c r="BQ475" s="8">
        <f>Granger_Inventory[[#This Row],[land_value]]</f>
        <v>30364.617541091193</v>
      </c>
      <c r="BR475" s="4">
        <f>_xlfn.IFNA(VLOOKUP(Granger_Inventory[[#This Row],[quality]],Lookups!$A$25:$C$35,3,FALSE),1)</f>
        <v>0.99049976351917957</v>
      </c>
      <c r="BS475" s="4">
        <f>_xlfn.IFNA(VLOOKUP(Granger_Inventory[[#This Row],[condition]],Lookups!$A$38:$C$45,3,FALSE),1)</f>
        <v>0.99484195314749324</v>
      </c>
      <c r="BT475" s="4">
        <f>IF(Granger_Inventory[[#This Row],[decade]]="",1,_xlfn.IFNA(VLOOKUP(Granger_Inventory[[#This Row],[decade]],Lookups!$G$28:$I$42,3,FALSE),1))</f>
        <v>0.76006056002554967</v>
      </c>
      <c r="BU475" s="4">
        <f>_xlfn.IFNA(VLOOKUP(Granger_Inventory[[#This Row],[living_area_range]],Lookups!$A$48:$C$57,3,FALSE),1)</f>
        <v>0.97860968051050168</v>
      </c>
      <c r="BV475" s="4">
        <f>AVERAGE(Granger_Inventory[[#This Row],[qual_adj]:[living_range_adj]])</f>
        <v>0.93100298930068104</v>
      </c>
      <c r="BW475" s="8">
        <f>(Granger_Inventory[[#This Row],[sum_land]]-IF(Granger_Inventory[[#This Row],[no_utilities]]=1,12000,0))/IF(Granger_Inventory[[#This Row],[unbuildable]]=1,2,1)</f>
        <v>30364.617541091193</v>
      </c>
      <c r="BX475" s="8">
        <f>Granger_Inventory[[#This Row],[pre_res]]*Granger_Inventory[[#This Row],[overall_adj]]</f>
        <v>278967.21382281405</v>
      </c>
      <c r="BY475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75">
        <f>ROUND(Granger_Inventory[[#This Row],[detatched_value]]*Lookups!$I$45,-2)</f>
        <v>0</v>
      </c>
      <c r="CA475">
        <f>IF(ROUND(Granger_Inventory[[#This Row],[adj_res]]*Lookups!$I$45,-2)&lt;Granger_Inventory[[#This Row],[min_res]],Granger_Inventory[[#This Row],[min_res]],ROUND(Granger_Inventory[[#This Row],[adj_res]]*Lookups!$I$45,-2))</f>
        <v>265000</v>
      </c>
      <c r="CB475">
        <f>Granger_Inventory[[#This Row],[final_det]]+Granger_Inventory[[#This Row],[final_res]]</f>
        <v>265000</v>
      </c>
      <c r="CC475">
        <f>Granger_Inventory[[#This Row],[final_land]]+Granger_Inventory[[#This Row],[final_imp]]+Granger_Inventory[[#This Row],[crop_value]]</f>
        <v>293800</v>
      </c>
      <c r="CE475" t="str">
        <f t="shared" si="7"/>
        <v>update valuation set market_land =28800, market_bldg=265000, market_total =293800, market_mdno =402, market_date ='9/10/2023' where link_id = (select link_id from parcel where parcel_year = '2024' and parcel_id = '21102121434');</v>
      </c>
    </row>
    <row r="476" spans="1:83" x14ac:dyDescent="0.25">
      <c r="A476">
        <v>21102121436</v>
      </c>
      <c r="B476">
        <v>0.15</v>
      </c>
      <c r="C476">
        <v>6474</v>
      </c>
      <c r="D476" t="s">
        <v>137</v>
      </c>
      <c r="E476" t="s">
        <v>54</v>
      </c>
      <c r="F476" t="s">
        <v>54</v>
      </c>
      <c r="G476">
        <v>3</v>
      </c>
      <c r="H476" t="s">
        <v>55</v>
      </c>
      <c r="I476">
        <v>88500</v>
      </c>
      <c r="J476">
        <v>26300</v>
      </c>
      <c r="K476">
        <v>0.15</v>
      </c>
      <c r="L47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476">
        <v>0</v>
      </c>
      <c r="N476">
        <v>0</v>
      </c>
      <c r="O476">
        <v>0</v>
      </c>
      <c r="P476">
        <v>47108.068500000001</v>
      </c>
      <c r="Q476">
        <v>122298</v>
      </c>
      <c r="R476">
        <f>(Granger_Inventory[[#This Row],[ln_acres]]*Granger_Inventory[[#This Row],[coeff]])+Granger_Inventory[[#This Row],[const]]</f>
        <v>32928.341799276939</v>
      </c>
      <c r="S476" t="s">
        <v>69</v>
      </c>
      <c r="T476">
        <v>1</v>
      </c>
      <c r="U476" t="s">
        <v>78</v>
      </c>
      <c r="V476" t="s">
        <v>77</v>
      </c>
      <c r="W476">
        <v>0</v>
      </c>
      <c r="X476">
        <v>0</v>
      </c>
      <c r="Y476">
        <v>53</v>
      </c>
      <c r="Z476">
        <v>93</v>
      </c>
      <c r="AA476">
        <v>100</v>
      </c>
      <c r="AB476">
        <v>1500</v>
      </c>
      <c r="AC476">
        <v>1019</v>
      </c>
      <c r="AD476">
        <v>1019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276</v>
      </c>
      <c r="AN476">
        <v>0</v>
      </c>
      <c r="AO476">
        <v>0</v>
      </c>
      <c r="AP476">
        <v>5</v>
      </c>
      <c r="AQ476">
        <v>0</v>
      </c>
      <c r="AR476">
        <v>0</v>
      </c>
      <c r="AS476" t="s">
        <v>59</v>
      </c>
      <c r="AT476">
        <v>0</v>
      </c>
      <c r="AU476" t="s">
        <v>83</v>
      </c>
      <c r="AV476" t="s">
        <v>65</v>
      </c>
      <c r="AW476">
        <v>0</v>
      </c>
      <c r="AX476">
        <v>3</v>
      </c>
      <c r="AY476">
        <v>0</v>
      </c>
      <c r="AZ476">
        <v>2900</v>
      </c>
      <c r="BA476">
        <v>100</v>
      </c>
      <c r="BB476">
        <v>100</v>
      </c>
      <c r="BC476">
        <v>100</v>
      </c>
      <c r="BD476">
        <v>100</v>
      </c>
      <c r="BE476">
        <v>1</v>
      </c>
      <c r="BF476">
        <v>15000</v>
      </c>
      <c r="BG476">
        <v>1000</v>
      </c>
      <c r="BH476" s="8">
        <f>Granger_Inventory[[#This Row],[land_extract]]*Lookups!$B$3</f>
        <v>19616.42740275669</v>
      </c>
      <c r="BI476" s="8">
        <f>IF(Granger_Inventory[[#This Row],[bldg_style]]="",0,Lookups!$B$2)</f>
        <v>29703.559000000001</v>
      </c>
      <c r="BJ476" s="8">
        <f>_xlfn.IFNA(VLOOKUP(Granger_Inventory[[#This Row],[quality]],Lookups!$H$2:$J$14,3,FALSE),0)</f>
        <v>23737.786340274597</v>
      </c>
      <c r="BK476" s="8">
        <f>_xlfn.IFNA(VLOOKUP(Granger_Inventory[[#This Row],[condition]],Lookups!$H$17:$J$24,3,FALSE),0)</f>
        <v>33736</v>
      </c>
      <c r="BL476" s="8">
        <f>Granger_Inventory[[#This Row],[Age]]*Lookups!$B$16</f>
        <v>-19281.792300000001</v>
      </c>
      <c r="BM476" s="8">
        <f>Granger_Inventory[[#This Row],[living_area]]*Lookups!$B$17</f>
        <v>68551.094270999994</v>
      </c>
      <c r="BN476" s="8">
        <f>(Granger_Inventory[[#This Row],[att_gar]]+Granger_Inventory[[#This Row],[blt_gar]])*Lookups!$B$18</f>
        <v>0</v>
      </c>
      <c r="BO476" s="8">
        <f>Granger_Inventory[[#This Row],[Patio]]*Lookups!$B$19</f>
        <v>14990.966495999999</v>
      </c>
      <c r="BP476" s="8">
        <f>SUM(Granger_Inventory[[#This Row],[Intercept]:[Patio_Value]])*Granger_Inventory[[#This Row],[res_pct]]</f>
        <v>151437.61380727461</v>
      </c>
      <c r="BQ476" s="8">
        <f>Granger_Inventory[[#This Row],[land_value]]</f>
        <v>19616.42740275669</v>
      </c>
      <c r="BR476" s="4">
        <f>_xlfn.IFNA(VLOOKUP(Granger_Inventory[[#This Row],[quality]],Lookups!$A$25:$C$35,3,FALSE),1)</f>
        <v>0.77695375541795109</v>
      </c>
      <c r="BS476" s="4">
        <f>_xlfn.IFNA(VLOOKUP(Granger_Inventory[[#This Row],[condition]],Lookups!$A$38:$C$45,3,FALSE),1)</f>
        <v>0.92294678898076177</v>
      </c>
      <c r="BT476" s="4">
        <f>IF(Granger_Inventory[[#This Row],[decade]]="",1,_xlfn.IFNA(VLOOKUP(Granger_Inventory[[#This Row],[decade]],Lookups!$G$28:$I$42,3,FALSE),1))</f>
        <v>0.879441629375324</v>
      </c>
      <c r="BU476" s="4">
        <f>_xlfn.IFNA(VLOOKUP(Granger_Inventory[[#This Row],[living_area_range]],Lookups!$A$48:$C$57,3,FALSE),1)</f>
        <v>0.97960506760539345</v>
      </c>
      <c r="BV476" s="4">
        <f>AVERAGE(Granger_Inventory[[#This Row],[qual_adj]:[living_range_adj]])</f>
        <v>0.88973681034485752</v>
      </c>
      <c r="BW476" s="8">
        <f>(Granger_Inventory[[#This Row],[sum_land]]-IF(Granger_Inventory[[#This Row],[no_utilities]]=1,12000,0))/IF(Granger_Inventory[[#This Row],[unbuildable]]=1,2,1)</f>
        <v>19616.42740275669</v>
      </c>
      <c r="BX476" s="8">
        <f>Granger_Inventory[[#This Row],[pre_res]]*Granger_Inventory[[#This Row],[overall_adj]]</f>
        <v>134739.61947512085</v>
      </c>
      <c r="BY47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476">
        <f>ROUND(Granger_Inventory[[#This Row],[detatched_value]]*Lookups!$I$45,-2)</f>
        <v>2800</v>
      </c>
      <c r="CA476">
        <f>IF(ROUND(Granger_Inventory[[#This Row],[adj_res]]*Lookups!$I$45,-2)&lt;Granger_Inventory[[#This Row],[min_res]],Granger_Inventory[[#This Row],[min_res]],ROUND(Granger_Inventory[[#This Row],[adj_res]]*Lookups!$I$45,-2))</f>
        <v>128000</v>
      </c>
      <c r="CB476">
        <f>Granger_Inventory[[#This Row],[final_det]]+Granger_Inventory[[#This Row],[final_res]]</f>
        <v>130800</v>
      </c>
      <c r="CC476">
        <f>Granger_Inventory[[#This Row],[final_land]]+Granger_Inventory[[#This Row],[final_imp]]+Granger_Inventory[[#This Row],[crop_value]]</f>
        <v>149400</v>
      </c>
      <c r="CE476" t="str">
        <f t="shared" si="7"/>
        <v>update valuation set market_land =18600, market_bldg=130800, market_total =149400, market_mdno =402, market_date ='9/10/2023' where link_id = (select link_id from parcel where parcel_year = '2024' and parcel_id = '21102121436');</v>
      </c>
    </row>
    <row r="477" spans="1:83" x14ac:dyDescent="0.25">
      <c r="A477">
        <v>21102121439</v>
      </c>
      <c r="B477">
        <v>0.15</v>
      </c>
      <c r="C477">
        <v>6556</v>
      </c>
      <c r="D477" t="s">
        <v>137</v>
      </c>
      <c r="E477" t="s">
        <v>54</v>
      </c>
      <c r="F477" t="s">
        <v>54</v>
      </c>
      <c r="G477">
        <v>3</v>
      </c>
      <c r="H477" t="s">
        <v>55</v>
      </c>
      <c r="I477">
        <v>215200</v>
      </c>
      <c r="J477">
        <v>26300</v>
      </c>
      <c r="K477">
        <v>0.15</v>
      </c>
      <c r="L477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477">
        <v>0</v>
      </c>
      <c r="N477">
        <v>0</v>
      </c>
      <c r="O477">
        <v>0</v>
      </c>
      <c r="P477">
        <v>47108.068500000001</v>
      </c>
      <c r="Q477">
        <v>122298</v>
      </c>
      <c r="R477">
        <f>(Granger_Inventory[[#This Row],[ln_acres]]*Granger_Inventory[[#This Row],[coeff]])+Granger_Inventory[[#This Row],[const]]</f>
        <v>32928.341799276939</v>
      </c>
      <c r="S477" t="s">
        <v>69</v>
      </c>
      <c r="T477">
        <v>1</v>
      </c>
      <c r="U477" t="s">
        <v>71</v>
      </c>
      <c r="V477" t="s">
        <v>72</v>
      </c>
      <c r="W477">
        <v>0</v>
      </c>
      <c r="X477">
        <v>0</v>
      </c>
      <c r="Y477">
        <v>49</v>
      </c>
      <c r="Z477">
        <v>68</v>
      </c>
      <c r="AA477">
        <v>70</v>
      </c>
      <c r="AB477">
        <v>2000</v>
      </c>
      <c r="AC477">
        <v>1538</v>
      </c>
      <c r="AD477">
        <v>1146</v>
      </c>
      <c r="AE477">
        <v>0</v>
      </c>
      <c r="AF477">
        <v>0</v>
      </c>
      <c r="AG477">
        <v>392</v>
      </c>
      <c r="AH477">
        <v>0</v>
      </c>
      <c r="AI477">
        <v>0</v>
      </c>
      <c r="AJ477">
        <v>0</v>
      </c>
      <c r="AK477">
        <v>0</v>
      </c>
      <c r="AL477">
        <v>192</v>
      </c>
      <c r="AM477">
        <v>400</v>
      </c>
      <c r="AN477">
        <v>0</v>
      </c>
      <c r="AO477">
        <v>592</v>
      </c>
      <c r="AP477">
        <v>7</v>
      </c>
      <c r="AQ477">
        <v>0</v>
      </c>
      <c r="AR477">
        <v>1</v>
      </c>
      <c r="AS477" t="s">
        <v>59</v>
      </c>
      <c r="AT477">
        <v>1</v>
      </c>
      <c r="AU477" t="s">
        <v>76</v>
      </c>
      <c r="AV477" t="s">
        <v>61</v>
      </c>
      <c r="AW477">
        <v>0</v>
      </c>
      <c r="AX477">
        <v>3</v>
      </c>
      <c r="AY477">
        <v>0</v>
      </c>
      <c r="AZ477">
        <v>20100</v>
      </c>
      <c r="BA477">
        <v>100</v>
      </c>
      <c r="BB477">
        <v>100</v>
      </c>
      <c r="BC477">
        <v>100</v>
      </c>
      <c r="BD477">
        <v>100</v>
      </c>
      <c r="BE477">
        <v>1</v>
      </c>
      <c r="BF477">
        <v>15000</v>
      </c>
      <c r="BG477">
        <v>1000</v>
      </c>
      <c r="BH477" s="8">
        <f>Granger_Inventory[[#This Row],[land_extract]]*Lookups!$B$3</f>
        <v>19616.42740275669</v>
      </c>
      <c r="BI477" s="8">
        <f>IF(Granger_Inventory[[#This Row],[bldg_style]]="",0,Lookups!$B$2)</f>
        <v>29703.559000000001</v>
      </c>
      <c r="BJ477" s="8">
        <f>_xlfn.IFNA(VLOOKUP(Granger_Inventory[[#This Row],[quality]],Lookups!$H$2:$J$14,3,FALSE),0)</f>
        <v>34195</v>
      </c>
      <c r="BK477" s="8">
        <f>_xlfn.IFNA(VLOOKUP(Granger_Inventory[[#This Row],[condition]],Lookups!$H$17:$J$24,3,FALSE),0)</f>
        <v>94106</v>
      </c>
      <c r="BL477" s="8">
        <f>Granger_Inventory[[#This Row],[Age]]*Lookups!$B$16</f>
        <v>-14098.514799999999</v>
      </c>
      <c r="BM477" s="8">
        <f>Granger_Inventory[[#This Row],[living_area]]*Lookups!$B$17</f>
        <v>103465.734042</v>
      </c>
      <c r="BN477" s="8">
        <f>(Granger_Inventory[[#This Row],[att_gar]]+Granger_Inventory[[#This Row],[blt_gar]])*Lookups!$B$18</f>
        <v>0</v>
      </c>
      <c r="BO477" s="8">
        <f>Granger_Inventory[[#This Row],[Patio]]*Lookups!$B$19</f>
        <v>21726.038399999998</v>
      </c>
      <c r="BP477" s="8">
        <f>SUM(Granger_Inventory[[#This Row],[Intercept]:[Patio_Value]])*Granger_Inventory[[#This Row],[res_pct]]</f>
        <v>269097.81664199999</v>
      </c>
      <c r="BQ477" s="8">
        <f>Granger_Inventory[[#This Row],[land_value]]</f>
        <v>19616.42740275669</v>
      </c>
      <c r="BR477" s="4">
        <f>_xlfn.IFNA(VLOOKUP(Granger_Inventory[[#This Row],[quality]],Lookups!$A$25:$C$35,3,FALSE),1)</f>
        <v>0.98258795897788032</v>
      </c>
      <c r="BS477" s="4">
        <f>_xlfn.IFNA(VLOOKUP(Granger_Inventory[[#This Row],[condition]],Lookups!$A$38:$C$45,3,FALSE),1)</f>
        <v>0.98658583151544277</v>
      </c>
      <c r="BT477" s="4">
        <f>IF(Granger_Inventory[[#This Row],[decade]]="",1,_xlfn.IFNA(VLOOKUP(Granger_Inventory[[#This Row],[decade]],Lookups!$G$28:$I$42,3,FALSE),1))</f>
        <v>1.0270382440255921</v>
      </c>
      <c r="BU477" s="4">
        <f>_xlfn.IFNA(VLOOKUP(Granger_Inventory[[#This Row],[living_area_range]],Lookups!$A$48:$C$57,3,FALSE),1)</f>
        <v>0.97860968051050168</v>
      </c>
      <c r="BV477" s="4">
        <f>AVERAGE(Granger_Inventory[[#This Row],[qual_adj]:[living_range_adj]])</f>
        <v>0.99370542875735424</v>
      </c>
      <c r="BW477" s="8">
        <f>(Granger_Inventory[[#This Row],[sum_land]]-IF(Granger_Inventory[[#This Row],[no_utilities]]=1,12000,0))/IF(Granger_Inventory[[#This Row],[unbuildable]]=1,2,1)</f>
        <v>19616.42740275669</v>
      </c>
      <c r="BX477" s="8">
        <f>Granger_Inventory[[#This Row],[pre_res]]*Granger_Inventory[[#This Row],[overall_adj]]</f>
        <v>267403.9612639065</v>
      </c>
      <c r="BY477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477">
        <f>ROUND(Granger_Inventory[[#This Row],[detatched_value]]*Lookups!$I$45,-2)</f>
        <v>19100</v>
      </c>
      <c r="CA477">
        <f>IF(ROUND(Granger_Inventory[[#This Row],[adj_res]]*Lookups!$I$45,-2)&lt;Granger_Inventory[[#This Row],[min_res]],Granger_Inventory[[#This Row],[min_res]],ROUND(Granger_Inventory[[#This Row],[adj_res]]*Lookups!$I$45,-2))</f>
        <v>254000</v>
      </c>
      <c r="CB477">
        <f>Granger_Inventory[[#This Row],[final_det]]+Granger_Inventory[[#This Row],[final_res]]</f>
        <v>273100</v>
      </c>
      <c r="CC477">
        <f>Granger_Inventory[[#This Row],[final_land]]+Granger_Inventory[[#This Row],[final_imp]]+Granger_Inventory[[#This Row],[crop_value]]</f>
        <v>291700</v>
      </c>
      <c r="CE477" t="str">
        <f t="shared" si="7"/>
        <v>update valuation set market_land =18600, market_bldg=273100, market_total =291700, market_mdno =402, market_date ='9/10/2023' where link_id = (select link_id from parcel where parcel_year = '2024' and parcel_id = '21102121439');</v>
      </c>
    </row>
    <row r="478" spans="1:83" x14ac:dyDescent="0.25">
      <c r="A478">
        <v>21102121443</v>
      </c>
      <c r="B478">
        <v>0.2</v>
      </c>
      <c r="C478">
        <v>8758</v>
      </c>
      <c r="D478" t="s">
        <v>137</v>
      </c>
      <c r="E478" t="s">
        <v>54</v>
      </c>
      <c r="F478" t="s">
        <v>54</v>
      </c>
      <c r="G478">
        <v>3</v>
      </c>
      <c r="H478" t="s">
        <v>55</v>
      </c>
      <c r="I478">
        <v>324400</v>
      </c>
      <c r="J478">
        <v>28000</v>
      </c>
      <c r="K478">
        <v>0.2</v>
      </c>
      <c r="L478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478">
        <v>0</v>
      </c>
      <c r="N478">
        <v>0</v>
      </c>
      <c r="O478">
        <v>0</v>
      </c>
      <c r="P478">
        <v>47108.068500000001</v>
      </c>
      <c r="Q478">
        <v>122298</v>
      </c>
      <c r="R478">
        <f>(Granger_Inventory[[#This Row],[ln_acres]]*Granger_Inventory[[#This Row],[coeff]])+Granger_Inventory[[#This Row],[const]]</f>
        <v>46480.488574557399</v>
      </c>
      <c r="S478" t="s">
        <v>59</v>
      </c>
      <c r="T478">
        <v>1</v>
      </c>
      <c r="U478" t="s">
        <v>57</v>
      </c>
      <c r="V478" t="s">
        <v>58</v>
      </c>
      <c r="W478">
        <v>0</v>
      </c>
      <c r="X478">
        <v>0</v>
      </c>
      <c r="Y478">
        <v>11</v>
      </c>
      <c r="Z478">
        <v>11</v>
      </c>
      <c r="AA478">
        <v>20</v>
      </c>
      <c r="AB478">
        <v>1500</v>
      </c>
      <c r="AC478">
        <v>1320</v>
      </c>
      <c r="AD478">
        <v>1320</v>
      </c>
      <c r="AE478">
        <v>0</v>
      </c>
      <c r="AF478">
        <v>0</v>
      </c>
      <c r="AG478">
        <v>0</v>
      </c>
      <c r="AH478">
        <v>0</v>
      </c>
      <c r="AI478">
        <v>480</v>
      </c>
      <c r="AJ478">
        <v>0</v>
      </c>
      <c r="AK478">
        <v>0</v>
      </c>
      <c r="AL478">
        <v>480</v>
      </c>
      <c r="AM478">
        <v>0</v>
      </c>
      <c r="AN478">
        <v>160</v>
      </c>
      <c r="AO478">
        <v>480</v>
      </c>
      <c r="AP478">
        <v>9</v>
      </c>
      <c r="AQ478">
        <v>0</v>
      </c>
      <c r="AR478">
        <v>0</v>
      </c>
      <c r="AS478" t="s">
        <v>59</v>
      </c>
      <c r="AT478">
        <v>1</v>
      </c>
      <c r="AU478" t="s">
        <v>60</v>
      </c>
      <c r="AV478" t="s">
        <v>61</v>
      </c>
      <c r="AW478">
        <v>1</v>
      </c>
      <c r="AX478">
        <v>3</v>
      </c>
      <c r="AY478">
        <v>0</v>
      </c>
      <c r="AZ478">
        <v>31600</v>
      </c>
      <c r="BA478">
        <v>100</v>
      </c>
      <c r="BB478">
        <v>100</v>
      </c>
      <c r="BC478">
        <v>100</v>
      </c>
      <c r="BD478">
        <v>100</v>
      </c>
      <c r="BE478">
        <v>1</v>
      </c>
      <c r="BF478">
        <v>15000</v>
      </c>
      <c r="BG478">
        <v>1000</v>
      </c>
      <c r="BH478" s="8">
        <f>Granger_Inventory[[#This Row],[land_extract]]*Lookups!$B$3</f>
        <v>27689.858642911939</v>
      </c>
      <c r="BI478" s="8">
        <f>IF(Granger_Inventory[[#This Row],[bldg_style]]="",0,Lookups!$B$2)</f>
        <v>29703.559000000001</v>
      </c>
      <c r="BJ478" s="8">
        <f>_xlfn.IFNA(VLOOKUP(Granger_Inventory[[#This Row],[quality]],Lookups!$H$2:$J$14,3,FALSE),0)</f>
        <v>56414</v>
      </c>
      <c r="BK478" s="8">
        <f>_xlfn.IFNA(VLOOKUP(Granger_Inventory[[#This Row],[condition]],Lookups!$H$17:$J$24,3,FALSE),0)</f>
        <v>101774</v>
      </c>
      <c r="BL478" s="8">
        <f>Granger_Inventory[[#This Row],[Age]]*Lookups!$B$16</f>
        <v>-2280.6421</v>
      </c>
      <c r="BM478" s="8">
        <f>Granger_Inventory[[#This Row],[living_area]]*Lookups!$B$17</f>
        <v>88800.239879999994</v>
      </c>
      <c r="BN478" s="8">
        <f>(Granger_Inventory[[#This Row],[att_gar]]+Granger_Inventory[[#This Row],[blt_gar]])*Lookups!$B$18</f>
        <v>23254.841280000001</v>
      </c>
      <c r="BO478" s="8">
        <f>Granger_Inventory[[#This Row],[Patio]]*Lookups!$B$19</f>
        <v>0</v>
      </c>
      <c r="BP478" s="8">
        <f>SUM(Granger_Inventory[[#This Row],[Intercept]:[Patio_Value]])*Granger_Inventory[[#This Row],[res_pct]]</f>
        <v>297665.99806000001</v>
      </c>
      <c r="BQ478" s="8">
        <f>Granger_Inventory[[#This Row],[land_value]]</f>
        <v>27689.858642911939</v>
      </c>
      <c r="BR478" s="4">
        <f>_xlfn.IFNA(VLOOKUP(Granger_Inventory[[#This Row],[quality]],Lookups!$A$25:$C$35,3,FALSE),1)</f>
        <v>0.98791809110152173</v>
      </c>
      <c r="BS478" s="4">
        <f>_xlfn.IFNA(VLOOKUP(Granger_Inventory[[#This Row],[condition]],Lookups!$A$38:$C$45,3,FALSE),1)</f>
        <v>0.99135053432734199</v>
      </c>
      <c r="BT478" s="4">
        <f>IF(Granger_Inventory[[#This Row],[decade]]="",1,_xlfn.IFNA(VLOOKUP(Granger_Inventory[[#This Row],[decade]],Lookups!$G$28:$I$42,3,FALSE),1))</f>
        <v>1.0159161060824455</v>
      </c>
      <c r="BU478" s="4">
        <f>_xlfn.IFNA(VLOOKUP(Granger_Inventory[[#This Row],[living_area_range]],Lookups!$A$48:$C$57,3,FALSE),1)</f>
        <v>0.97960506760539345</v>
      </c>
      <c r="BV478" s="4">
        <f>AVERAGE(Granger_Inventory[[#This Row],[qual_adj]:[living_range_adj]])</f>
        <v>0.99369744977917573</v>
      </c>
      <c r="BW478" s="8">
        <f>(Granger_Inventory[[#This Row],[sum_land]]-IF(Granger_Inventory[[#This Row],[no_utilities]]=1,12000,0))/IF(Granger_Inventory[[#This Row],[unbuildable]]=1,2,1)</f>
        <v>27689.858642911939</v>
      </c>
      <c r="BX478" s="8">
        <f>Granger_Inventory[[#This Row],[pre_res]]*Granger_Inventory[[#This Row],[overall_adj]]</f>
        <v>295789.94315819506</v>
      </c>
      <c r="BY478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478">
        <f>ROUND(Granger_Inventory[[#This Row],[detatched_value]]*Lookups!$I$45,-2)</f>
        <v>30000</v>
      </c>
      <c r="CA478">
        <f>IF(ROUND(Granger_Inventory[[#This Row],[adj_res]]*Lookups!$I$45,-2)&lt;Granger_Inventory[[#This Row],[min_res]],Granger_Inventory[[#This Row],[min_res]],ROUND(Granger_Inventory[[#This Row],[adj_res]]*Lookups!$I$45,-2))</f>
        <v>281000</v>
      </c>
      <c r="CB478">
        <f>Granger_Inventory[[#This Row],[final_det]]+Granger_Inventory[[#This Row],[final_res]]</f>
        <v>311000</v>
      </c>
      <c r="CC478">
        <f>Granger_Inventory[[#This Row],[final_land]]+Granger_Inventory[[#This Row],[final_imp]]+Granger_Inventory[[#This Row],[crop_value]]</f>
        <v>337300</v>
      </c>
      <c r="CE478" t="str">
        <f t="shared" si="7"/>
        <v>update valuation set market_land =26300, market_bldg=311000, market_total =337300, market_mdno =402, market_date ='9/10/2023' where link_id = (select link_id from parcel where parcel_year = '2024' and parcel_id = '21102121443');</v>
      </c>
    </row>
    <row r="479" spans="1:83" x14ac:dyDescent="0.25">
      <c r="A479">
        <v>21102121444</v>
      </c>
      <c r="B479">
        <v>0.22</v>
      </c>
      <c r="C479">
        <v>9478</v>
      </c>
      <c r="D479" t="s">
        <v>137</v>
      </c>
      <c r="E479" t="s">
        <v>54</v>
      </c>
      <c r="F479" t="s">
        <v>54</v>
      </c>
      <c r="G479">
        <v>3</v>
      </c>
      <c r="H479" t="s">
        <v>55</v>
      </c>
      <c r="I479">
        <v>149500</v>
      </c>
      <c r="J479">
        <v>28600</v>
      </c>
      <c r="K479">
        <v>0.22</v>
      </c>
      <c r="L479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79">
        <v>0</v>
      </c>
      <c r="N479">
        <v>0</v>
      </c>
      <c r="O479">
        <v>0</v>
      </c>
      <c r="P479">
        <v>47108.068500000001</v>
      </c>
      <c r="Q479">
        <v>122298</v>
      </c>
      <c r="R479">
        <f>(Granger_Inventory[[#This Row],[ln_acres]]*Granger_Inventory[[#This Row],[coeff]])+Granger_Inventory[[#This Row],[const]]</f>
        <v>50970.367053526847</v>
      </c>
      <c r="S479" t="s">
        <v>62</v>
      </c>
      <c r="T479">
        <v>1</v>
      </c>
      <c r="U479" t="s">
        <v>78</v>
      </c>
      <c r="V479" t="s">
        <v>72</v>
      </c>
      <c r="W479">
        <v>0</v>
      </c>
      <c r="X479">
        <v>0</v>
      </c>
      <c r="Y479">
        <v>43</v>
      </c>
      <c r="Z479">
        <v>93</v>
      </c>
      <c r="AA479">
        <v>100</v>
      </c>
      <c r="AB479">
        <v>1500</v>
      </c>
      <c r="AC479">
        <v>1120</v>
      </c>
      <c r="AD479">
        <v>1120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192</v>
      </c>
      <c r="AL479">
        <v>0</v>
      </c>
      <c r="AM479">
        <v>0</v>
      </c>
      <c r="AN479">
        <v>84</v>
      </c>
      <c r="AO479">
        <v>0</v>
      </c>
      <c r="AP479">
        <v>5</v>
      </c>
      <c r="AQ479">
        <v>0</v>
      </c>
      <c r="AR479">
        <v>0</v>
      </c>
      <c r="AS479" t="s">
        <v>59</v>
      </c>
      <c r="AT479">
        <v>1</v>
      </c>
      <c r="AU479" t="s">
        <v>76</v>
      </c>
      <c r="AV479" t="s">
        <v>61</v>
      </c>
      <c r="AW479">
        <v>0</v>
      </c>
      <c r="AX479">
        <v>3</v>
      </c>
      <c r="AY479">
        <v>0</v>
      </c>
      <c r="AZ479">
        <v>2800</v>
      </c>
      <c r="BA479">
        <v>100</v>
      </c>
      <c r="BB479">
        <v>100</v>
      </c>
      <c r="BC479">
        <v>100</v>
      </c>
      <c r="BD479">
        <v>100</v>
      </c>
      <c r="BE479">
        <v>1</v>
      </c>
      <c r="BF479">
        <v>15000</v>
      </c>
      <c r="BG479">
        <v>1000</v>
      </c>
      <c r="BH479" s="8">
        <f>Granger_Inventory[[#This Row],[land_extract]]*Lookups!$B$3</f>
        <v>30364.617541091193</v>
      </c>
      <c r="BI479" s="8">
        <f>IF(Granger_Inventory[[#This Row],[bldg_style]]="",0,Lookups!$B$2)</f>
        <v>29703.559000000001</v>
      </c>
      <c r="BJ479" s="8">
        <f>_xlfn.IFNA(VLOOKUP(Granger_Inventory[[#This Row],[quality]],Lookups!$H$2:$J$14,3,FALSE),0)</f>
        <v>23737.786340274597</v>
      </c>
      <c r="BK479" s="8">
        <f>_xlfn.IFNA(VLOOKUP(Granger_Inventory[[#This Row],[condition]],Lookups!$H$17:$J$24,3,FALSE),0)</f>
        <v>94106</v>
      </c>
      <c r="BL479" s="8">
        <f>Granger_Inventory[[#This Row],[Age]]*Lookups!$B$16</f>
        <v>-19281.792300000001</v>
      </c>
      <c r="BM479" s="8">
        <f>Granger_Inventory[[#This Row],[living_area]]*Lookups!$B$17</f>
        <v>75345.658079999994</v>
      </c>
      <c r="BN479" s="8">
        <f>(Granger_Inventory[[#This Row],[att_gar]]+Granger_Inventory[[#This Row],[blt_gar]])*Lookups!$B$18</f>
        <v>0</v>
      </c>
      <c r="BO479" s="8">
        <f>Granger_Inventory[[#This Row],[Patio]]*Lookups!$B$19</f>
        <v>0</v>
      </c>
      <c r="BP479" s="8">
        <f>SUM(Granger_Inventory[[#This Row],[Intercept]:[Patio_Value]])*Granger_Inventory[[#This Row],[res_pct]]</f>
        <v>203611.21112027459</v>
      </c>
      <c r="BQ479" s="8">
        <f>Granger_Inventory[[#This Row],[land_value]]</f>
        <v>30364.617541091193</v>
      </c>
      <c r="BR479" s="4">
        <f>_xlfn.IFNA(VLOOKUP(Granger_Inventory[[#This Row],[quality]],Lookups!$A$25:$C$35,3,FALSE),1)</f>
        <v>0.77695375541795109</v>
      </c>
      <c r="BS479" s="4">
        <f>_xlfn.IFNA(VLOOKUP(Granger_Inventory[[#This Row],[condition]],Lookups!$A$38:$C$45,3,FALSE),1)</f>
        <v>0.98658583151544277</v>
      </c>
      <c r="BT479" s="4">
        <f>IF(Granger_Inventory[[#This Row],[decade]]="",1,_xlfn.IFNA(VLOOKUP(Granger_Inventory[[#This Row],[decade]],Lookups!$G$28:$I$42,3,FALSE),1))</f>
        <v>0.879441629375324</v>
      </c>
      <c r="BU479" s="4">
        <f>_xlfn.IFNA(VLOOKUP(Granger_Inventory[[#This Row],[living_area_range]],Lookups!$A$48:$C$57,3,FALSE),1)</f>
        <v>0.97960506760539345</v>
      </c>
      <c r="BV479" s="4">
        <f>AVERAGE(Granger_Inventory[[#This Row],[qual_adj]:[living_range_adj]])</f>
        <v>0.90564657097852785</v>
      </c>
      <c r="BW479" s="8">
        <f>(Granger_Inventory[[#This Row],[sum_land]]-IF(Granger_Inventory[[#This Row],[no_utilities]]=1,12000,0))/IF(Granger_Inventory[[#This Row],[unbuildable]]=1,2,1)</f>
        <v>30364.617541091193</v>
      </c>
      <c r="BX479" s="8">
        <f>Granger_Inventory[[#This Row],[pre_res]]*Granger_Inventory[[#This Row],[overall_adj]]</f>
        <v>184399.79516386177</v>
      </c>
      <c r="BY479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79">
        <f>ROUND(Granger_Inventory[[#This Row],[detatched_value]]*Lookups!$I$45,-2)</f>
        <v>2700</v>
      </c>
      <c r="CA479">
        <f>IF(ROUND(Granger_Inventory[[#This Row],[adj_res]]*Lookups!$I$45,-2)&lt;Granger_Inventory[[#This Row],[min_res]],Granger_Inventory[[#This Row],[min_res]],ROUND(Granger_Inventory[[#This Row],[adj_res]]*Lookups!$I$45,-2))</f>
        <v>175200</v>
      </c>
      <c r="CB479">
        <f>Granger_Inventory[[#This Row],[final_det]]+Granger_Inventory[[#This Row],[final_res]]</f>
        <v>177900</v>
      </c>
      <c r="CC479">
        <f>Granger_Inventory[[#This Row],[final_land]]+Granger_Inventory[[#This Row],[final_imp]]+Granger_Inventory[[#This Row],[crop_value]]</f>
        <v>206700</v>
      </c>
      <c r="CE479" t="str">
        <f t="shared" si="7"/>
        <v>update valuation set market_land =28800, market_bldg=177900, market_total =206700, market_mdno =402, market_date ='9/10/2023' where link_id = (select link_id from parcel where parcel_year = '2024' and parcel_id = '21102121444');</v>
      </c>
    </row>
    <row r="480" spans="1:83" x14ac:dyDescent="0.25">
      <c r="A480">
        <v>21102121445</v>
      </c>
      <c r="B480">
        <v>0.22</v>
      </c>
      <c r="C480">
        <v>9747</v>
      </c>
      <c r="D480" t="s">
        <v>137</v>
      </c>
      <c r="E480" t="s">
        <v>54</v>
      </c>
      <c r="F480" t="s">
        <v>54</v>
      </c>
      <c r="G480">
        <v>3</v>
      </c>
      <c r="H480" t="s">
        <v>55</v>
      </c>
      <c r="I480">
        <v>158400</v>
      </c>
      <c r="J480">
        <v>28600</v>
      </c>
      <c r="K480">
        <v>0.22</v>
      </c>
      <c r="L480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80">
        <v>0</v>
      </c>
      <c r="N480">
        <v>0</v>
      </c>
      <c r="O480">
        <v>0</v>
      </c>
      <c r="P480">
        <v>47108.068500000001</v>
      </c>
      <c r="Q480">
        <v>122298</v>
      </c>
      <c r="R480">
        <f>(Granger_Inventory[[#This Row],[ln_acres]]*Granger_Inventory[[#This Row],[coeff]])+Granger_Inventory[[#This Row],[const]]</f>
        <v>50970.367053526847</v>
      </c>
      <c r="S480" t="s">
        <v>69</v>
      </c>
      <c r="T480">
        <v>1</v>
      </c>
      <c r="U480" t="s">
        <v>78</v>
      </c>
      <c r="V480" t="s">
        <v>70</v>
      </c>
      <c r="W480">
        <v>0</v>
      </c>
      <c r="X480">
        <v>0</v>
      </c>
      <c r="Y480">
        <v>55</v>
      </c>
      <c r="Z480">
        <v>98</v>
      </c>
      <c r="AA480">
        <v>100</v>
      </c>
      <c r="AB480">
        <v>1500</v>
      </c>
      <c r="AC480">
        <v>1188</v>
      </c>
      <c r="AD480">
        <v>1188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176</v>
      </c>
      <c r="AO480">
        <v>0</v>
      </c>
      <c r="AP480">
        <v>5</v>
      </c>
      <c r="AQ480">
        <v>0</v>
      </c>
      <c r="AR480">
        <v>0</v>
      </c>
      <c r="AS480" t="s">
        <v>59</v>
      </c>
      <c r="AT480">
        <v>1</v>
      </c>
      <c r="AU480" t="s">
        <v>68</v>
      </c>
      <c r="AV480" t="s">
        <v>65</v>
      </c>
      <c r="AW480">
        <v>0</v>
      </c>
      <c r="AX480">
        <v>3</v>
      </c>
      <c r="AY480">
        <v>0</v>
      </c>
      <c r="AZ480">
        <v>0</v>
      </c>
      <c r="BA480">
        <v>100</v>
      </c>
      <c r="BB480">
        <v>100</v>
      </c>
      <c r="BC480">
        <v>100</v>
      </c>
      <c r="BD480">
        <v>100</v>
      </c>
      <c r="BE480">
        <v>1</v>
      </c>
      <c r="BF480">
        <v>15000</v>
      </c>
      <c r="BG480">
        <v>1000</v>
      </c>
      <c r="BH480" s="8">
        <f>Granger_Inventory[[#This Row],[land_extract]]*Lookups!$B$3</f>
        <v>30364.617541091193</v>
      </c>
      <c r="BI480" s="8">
        <f>IF(Granger_Inventory[[#This Row],[bldg_style]]="",0,Lookups!$B$2)</f>
        <v>29703.559000000001</v>
      </c>
      <c r="BJ480" s="8">
        <f>_xlfn.IFNA(VLOOKUP(Granger_Inventory[[#This Row],[quality]],Lookups!$H$2:$J$14,3,FALSE),0)</f>
        <v>23737.786340274597</v>
      </c>
      <c r="BK480" s="8">
        <f>_xlfn.IFNA(VLOOKUP(Granger_Inventory[[#This Row],[condition]],Lookups!$H$17:$J$24,3,FALSE),0)</f>
        <v>80695</v>
      </c>
      <c r="BL480" s="8">
        <f>Granger_Inventory[[#This Row],[Age]]*Lookups!$B$16</f>
        <v>-20318.447799999998</v>
      </c>
      <c r="BM480" s="8">
        <f>Granger_Inventory[[#This Row],[living_area]]*Lookups!$B$17</f>
        <v>79920.215891999993</v>
      </c>
      <c r="BN480" s="8">
        <f>(Granger_Inventory[[#This Row],[att_gar]]+Granger_Inventory[[#This Row],[blt_gar]])*Lookups!$B$18</f>
        <v>0</v>
      </c>
      <c r="BO480" s="8">
        <f>Granger_Inventory[[#This Row],[Patio]]*Lookups!$B$19</f>
        <v>0</v>
      </c>
      <c r="BP480" s="8">
        <f>SUM(Granger_Inventory[[#This Row],[Intercept]:[Patio_Value]])*Granger_Inventory[[#This Row],[res_pct]]</f>
        <v>193738.11343227461</v>
      </c>
      <c r="BQ480" s="8">
        <f>Granger_Inventory[[#This Row],[land_value]]</f>
        <v>30364.617541091193</v>
      </c>
      <c r="BR480" s="4">
        <f>_xlfn.IFNA(VLOOKUP(Granger_Inventory[[#This Row],[quality]],Lookups!$A$25:$C$35,3,FALSE),1)</f>
        <v>0.77695375541795109</v>
      </c>
      <c r="BS480" s="4">
        <f>_xlfn.IFNA(VLOOKUP(Granger_Inventory[[#This Row],[condition]],Lookups!$A$38:$C$45,3,FALSE),1)</f>
        <v>0.99484195314749324</v>
      </c>
      <c r="BT480" s="4">
        <f>IF(Granger_Inventory[[#This Row],[decade]]="",1,_xlfn.IFNA(VLOOKUP(Granger_Inventory[[#This Row],[decade]],Lookups!$G$28:$I$42,3,FALSE),1))</f>
        <v>0.879441629375324</v>
      </c>
      <c r="BU480" s="4">
        <f>_xlfn.IFNA(VLOOKUP(Granger_Inventory[[#This Row],[living_area_range]],Lookups!$A$48:$C$57,3,FALSE),1)</f>
        <v>0.97960506760539345</v>
      </c>
      <c r="BV480" s="4">
        <f>AVERAGE(Granger_Inventory[[#This Row],[qual_adj]:[living_range_adj]])</f>
        <v>0.90771060138654047</v>
      </c>
      <c r="BW480" s="8">
        <f>(Granger_Inventory[[#This Row],[sum_land]]-IF(Granger_Inventory[[#This Row],[no_utilities]]=1,12000,0))/IF(Granger_Inventory[[#This Row],[unbuildable]]=1,2,1)</f>
        <v>30364.617541091193</v>
      </c>
      <c r="BX480" s="8">
        <f>Granger_Inventory[[#This Row],[pre_res]]*Granger_Inventory[[#This Row],[overall_adj]]</f>
        <v>175858.13945510378</v>
      </c>
      <c r="BY480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80">
        <f>ROUND(Granger_Inventory[[#This Row],[detatched_value]]*Lookups!$I$45,-2)</f>
        <v>0</v>
      </c>
      <c r="CA480">
        <f>IF(ROUND(Granger_Inventory[[#This Row],[adj_res]]*Lookups!$I$45,-2)&lt;Granger_Inventory[[#This Row],[min_res]],Granger_Inventory[[#This Row],[min_res]],ROUND(Granger_Inventory[[#This Row],[adj_res]]*Lookups!$I$45,-2))</f>
        <v>167100</v>
      </c>
      <c r="CB480">
        <f>Granger_Inventory[[#This Row],[final_det]]+Granger_Inventory[[#This Row],[final_res]]</f>
        <v>167100</v>
      </c>
      <c r="CC480">
        <f>Granger_Inventory[[#This Row],[final_land]]+Granger_Inventory[[#This Row],[final_imp]]+Granger_Inventory[[#This Row],[crop_value]]</f>
        <v>195900</v>
      </c>
      <c r="CE480" t="str">
        <f t="shared" si="7"/>
        <v>update valuation set market_land =28800, market_bldg=167100, market_total =195900, market_mdno =402, market_date ='9/10/2023' where link_id = (select link_id from parcel where parcel_year = '2024' and parcel_id = '21102121445');</v>
      </c>
    </row>
    <row r="481" spans="1:83" x14ac:dyDescent="0.25">
      <c r="A481">
        <v>21102121446</v>
      </c>
      <c r="B481">
        <v>0.15</v>
      </c>
      <c r="C481">
        <v>6588</v>
      </c>
      <c r="D481" t="s">
        <v>137</v>
      </c>
      <c r="E481" t="s">
        <v>54</v>
      </c>
      <c r="F481" t="s">
        <v>54</v>
      </c>
      <c r="G481">
        <v>3</v>
      </c>
      <c r="H481" t="s">
        <v>55</v>
      </c>
      <c r="I481">
        <v>0</v>
      </c>
      <c r="J481">
        <v>26300</v>
      </c>
      <c r="K481">
        <v>0.15</v>
      </c>
      <c r="L481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481">
        <v>0</v>
      </c>
      <c r="N481">
        <v>0</v>
      </c>
      <c r="O481">
        <v>0</v>
      </c>
      <c r="P481">
        <v>47108.068500000001</v>
      </c>
      <c r="Q481">
        <v>122298</v>
      </c>
      <c r="R481">
        <f>(Granger_Inventory[[#This Row],[ln_acres]]*Granger_Inventory[[#This Row],[coeff]])+Granger_Inventory[[#This Row],[const]]</f>
        <v>32928.341799276939</v>
      </c>
      <c r="S481" t="s">
        <v>69</v>
      </c>
      <c r="T481">
        <v>1</v>
      </c>
      <c r="U481" t="s">
        <v>106</v>
      </c>
      <c r="V481" t="s">
        <v>82</v>
      </c>
      <c r="W481">
        <v>0</v>
      </c>
      <c r="X481">
        <v>0</v>
      </c>
      <c r="Y481">
        <v>55</v>
      </c>
      <c r="Z481">
        <v>98</v>
      </c>
      <c r="AA481">
        <v>100</v>
      </c>
      <c r="AB481">
        <v>1000</v>
      </c>
      <c r="AC481">
        <v>816</v>
      </c>
      <c r="AD481">
        <v>816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116</v>
      </c>
      <c r="AM481">
        <v>0</v>
      </c>
      <c r="AN481">
        <v>0</v>
      </c>
      <c r="AO481">
        <v>98</v>
      </c>
      <c r="AP481">
        <v>5</v>
      </c>
      <c r="AQ481">
        <v>0</v>
      </c>
      <c r="AR481">
        <v>0</v>
      </c>
      <c r="AS481" t="s">
        <v>59</v>
      </c>
      <c r="AT481">
        <v>0</v>
      </c>
      <c r="AU481" t="s">
        <v>83</v>
      </c>
      <c r="AV481" t="s">
        <v>65</v>
      </c>
      <c r="AW481">
        <v>0</v>
      </c>
      <c r="AX481">
        <v>2</v>
      </c>
      <c r="AY481">
        <v>0</v>
      </c>
      <c r="AZ481">
        <v>0</v>
      </c>
      <c r="BA481">
        <v>100</v>
      </c>
      <c r="BB481">
        <v>100</v>
      </c>
      <c r="BC481">
        <v>100</v>
      </c>
      <c r="BD481">
        <v>100</v>
      </c>
      <c r="BE481">
        <v>1</v>
      </c>
      <c r="BF481">
        <v>15000</v>
      </c>
      <c r="BG481">
        <v>1000</v>
      </c>
      <c r="BH481" s="8">
        <f>Granger_Inventory[[#This Row],[land_extract]]*Lookups!$B$3</f>
        <v>19616.42740275669</v>
      </c>
      <c r="BI481" s="8">
        <f>IF(Granger_Inventory[[#This Row],[bldg_style]]="",0,Lookups!$B$2)</f>
        <v>29703.559000000001</v>
      </c>
      <c r="BJ481" s="8">
        <f>_xlfn.IFNA(VLOOKUP(Granger_Inventory[[#This Row],[quality]],Lookups!$H$2:$J$14,3,FALSE),0)</f>
        <v>17985.540667792327</v>
      </c>
      <c r="BK481" s="8">
        <f>_xlfn.IFNA(VLOOKUP(Granger_Inventory[[#This Row],[condition]],Lookups!$H$17:$J$24,3,FALSE),0)</f>
        <v>27308</v>
      </c>
      <c r="BL481" s="8">
        <f>Granger_Inventory[[#This Row],[Age]]*Lookups!$B$16</f>
        <v>-20318.447799999998</v>
      </c>
      <c r="BM481" s="8">
        <f>Granger_Inventory[[#This Row],[living_area]]*Lookups!$B$17</f>
        <v>54894.693743999997</v>
      </c>
      <c r="BN481" s="8">
        <f>(Granger_Inventory[[#This Row],[att_gar]]+Granger_Inventory[[#This Row],[blt_gar]])*Lookups!$B$18</f>
        <v>0</v>
      </c>
      <c r="BO481" s="8">
        <f>Granger_Inventory[[#This Row],[Patio]]*Lookups!$B$19</f>
        <v>0</v>
      </c>
      <c r="BP481" s="8">
        <f>SUM(Granger_Inventory[[#This Row],[Intercept]:[Patio_Value]])*Granger_Inventory[[#This Row],[res_pct]]</f>
        <v>109573.34561179232</v>
      </c>
      <c r="BQ481" s="8">
        <f>Granger_Inventory[[#This Row],[land_value]]</f>
        <v>19616.42740275669</v>
      </c>
      <c r="BR481" s="4">
        <f>_xlfn.IFNA(VLOOKUP(Granger_Inventory[[#This Row],[quality]],Lookups!$A$25:$C$35,3,FALSE),1)</f>
        <v>0.77695375541795109</v>
      </c>
      <c r="BS481" s="4">
        <f>_xlfn.IFNA(VLOOKUP(Granger_Inventory[[#This Row],[condition]],Lookups!$A$38:$C$45,3,FALSE),1)</f>
        <v>0.59507759803100935</v>
      </c>
      <c r="BT481" s="4">
        <f>IF(Granger_Inventory[[#This Row],[decade]]="",1,_xlfn.IFNA(VLOOKUP(Granger_Inventory[[#This Row],[decade]],Lookups!$G$28:$I$42,3,FALSE),1))</f>
        <v>0.879441629375324</v>
      </c>
      <c r="BU481" s="4">
        <f>_xlfn.IFNA(VLOOKUP(Granger_Inventory[[#This Row],[living_area_range]],Lookups!$A$48:$C$57,3,FALSE),1)</f>
        <v>0.81272404900450645</v>
      </c>
      <c r="BV481" s="4">
        <f>AVERAGE(Granger_Inventory[[#This Row],[qual_adj]:[living_range_adj]])</f>
        <v>0.7660492579571978</v>
      </c>
      <c r="BW481" s="8">
        <f>(Granger_Inventory[[#This Row],[sum_land]]-IF(Granger_Inventory[[#This Row],[no_utilities]]=1,12000,0))/IF(Granger_Inventory[[#This Row],[unbuildable]]=1,2,1)</f>
        <v>19616.42740275669</v>
      </c>
      <c r="BX481" s="8">
        <f>Granger_Inventory[[#This Row],[pre_res]]*Granger_Inventory[[#This Row],[overall_adj]]</f>
        <v>83938.580097801081</v>
      </c>
      <c r="BY481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481">
        <f>ROUND(Granger_Inventory[[#This Row],[detatched_value]]*Lookups!$I$45,-2)</f>
        <v>0</v>
      </c>
      <c r="CA481">
        <f>IF(ROUND(Granger_Inventory[[#This Row],[adj_res]]*Lookups!$I$45,-2)&lt;Granger_Inventory[[#This Row],[min_res]],Granger_Inventory[[#This Row],[min_res]],ROUND(Granger_Inventory[[#This Row],[adj_res]]*Lookups!$I$45,-2))</f>
        <v>79700</v>
      </c>
      <c r="CB481">
        <f>Granger_Inventory[[#This Row],[final_det]]+Granger_Inventory[[#This Row],[final_res]]</f>
        <v>79700</v>
      </c>
      <c r="CC481">
        <f>Granger_Inventory[[#This Row],[final_land]]+Granger_Inventory[[#This Row],[final_imp]]+Granger_Inventory[[#This Row],[crop_value]]</f>
        <v>98300</v>
      </c>
      <c r="CE481" t="str">
        <f t="shared" si="7"/>
        <v>update valuation set market_land =18600, market_bldg=79700, market_total =98300, market_mdno =402, market_date ='9/10/2023' where link_id = (select link_id from parcel where parcel_year = '2024' and parcel_id = '21102121446');</v>
      </c>
    </row>
    <row r="482" spans="1:83" x14ac:dyDescent="0.25">
      <c r="A482">
        <v>21102121447</v>
      </c>
      <c r="B482">
        <v>0.17</v>
      </c>
      <c r="C482">
        <v>7438</v>
      </c>
      <c r="D482" t="s">
        <v>137</v>
      </c>
      <c r="E482" t="s">
        <v>54</v>
      </c>
      <c r="F482" t="s">
        <v>54</v>
      </c>
      <c r="G482">
        <v>3</v>
      </c>
      <c r="H482" t="s">
        <v>55</v>
      </c>
      <c r="I482">
        <v>75200</v>
      </c>
      <c r="J482">
        <v>27100</v>
      </c>
      <c r="K482">
        <v>0.17</v>
      </c>
      <c r="L482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82">
        <v>0</v>
      </c>
      <c r="N482">
        <v>0</v>
      </c>
      <c r="O482">
        <v>0</v>
      </c>
      <c r="P482">
        <v>47108.068500000001</v>
      </c>
      <c r="Q482">
        <v>122298</v>
      </c>
      <c r="R482">
        <f>(Granger_Inventory[[#This Row],[ln_acres]]*Granger_Inventory[[#This Row],[coeff]])+Granger_Inventory[[#This Row],[const]]</f>
        <v>38824.535711229546</v>
      </c>
      <c r="S482" t="s">
        <v>69</v>
      </c>
      <c r="T482">
        <v>1</v>
      </c>
      <c r="U482" t="s">
        <v>78</v>
      </c>
      <c r="V482" t="s">
        <v>77</v>
      </c>
      <c r="W482">
        <v>0</v>
      </c>
      <c r="X482">
        <v>0</v>
      </c>
      <c r="Y482">
        <v>55</v>
      </c>
      <c r="Z482">
        <v>98</v>
      </c>
      <c r="AA482">
        <v>100</v>
      </c>
      <c r="AB482">
        <v>1500</v>
      </c>
      <c r="AC482">
        <v>1114</v>
      </c>
      <c r="AD482">
        <v>1114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128</v>
      </c>
      <c r="AO482">
        <v>0</v>
      </c>
      <c r="AP482">
        <v>5</v>
      </c>
      <c r="AQ482">
        <v>0</v>
      </c>
      <c r="AR482">
        <v>0</v>
      </c>
      <c r="AS482" t="s">
        <v>59</v>
      </c>
      <c r="AT482">
        <v>0</v>
      </c>
      <c r="AU482" t="s">
        <v>83</v>
      </c>
      <c r="AV482" t="s">
        <v>65</v>
      </c>
      <c r="AW482">
        <v>0</v>
      </c>
      <c r="AX482">
        <v>2</v>
      </c>
      <c r="AY482">
        <v>0</v>
      </c>
      <c r="AZ482">
        <v>5200</v>
      </c>
      <c r="BA482">
        <v>100</v>
      </c>
      <c r="BB482">
        <v>100</v>
      </c>
      <c r="BC482">
        <v>100</v>
      </c>
      <c r="BD482">
        <v>100</v>
      </c>
      <c r="BE482">
        <v>1</v>
      </c>
      <c r="BF482">
        <v>15000</v>
      </c>
      <c r="BG482">
        <v>1000</v>
      </c>
      <c r="BH482" s="8">
        <f>Granger_Inventory[[#This Row],[land_extract]]*Lookups!$B$3</f>
        <v>23128.971718879347</v>
      </c>
      <c r="BI482" s="8">
        <f>IF(Granger_Inventory[[#This Row],[bldg_style]]="",0,Lookups!$B$2)</f>
        <v>29703.559000000001</v>
      </c>
      <c r="BJ482" s="8">
        <f>_xlfn.IFNA(VLOOKUP(Granger_Inventory[[#This Row],[quality]],Lookups!$H$2:$J$14,3,FALSE),0)</f>
        <v>23737.786340274597</v>
      </c>
      <c r="BK482" s="8">
        <f>_xlfn.IFNA(VLOOKUP(Granger_Inventory[[#This Row],[condition]],Lookups!$H$17:$J$24,3,FALSE),0)</f>
        <v>33736</v>
      </c>
      <c r="BL482" s="8">
        <f>Granger_Inventory[[#This Row],[Age]]*Lookups!$B$16</f>
        <v>-20318.447799999998</v>
      </c>
      <c r="BM482" s="8">
        <f>Granger_Inventory[[#This Row],[living_area]]*Lookups!$B$17</f>
        <v>74942.020625999998</v>
      </c>
      <c r="BN482" s="8">
        <f>(Granger_Inventory[[#This Row],[att_gar]]+Granger_Inventory[[#This Row],[blt_gar]])*Lookups!$B$18</f>
        <v>0</v>
      </c>
      <c r="BO482" s="8">
        <f>Granger_Inventory[[#This Row],[Patio]]*Lookups!$B$19</f>
        <v>0</v>
      </c>
      <c r="BP482" s="8">
        <f>SUM(Granger_Inventory[[#This Row],[Intercept]:[Patio_Value]])*Granger_Inventory[[#This Row],[res_pct]]</f>
        <v>141800.91816627461</v>
      </c>
      <c r="BQ482" s="8">
        <f>Granger_Inventory[[#This Row],[land_value]]</f>
        <v>23128.971718879347</v>
      </c>
      <c r="BR482" s="4">
        <f>_xlfn.IFNA(VLOOKUP(Granger_Inventory[[#This Row],[quality]],Lookups!$A$25:$C$35,3,FALSE),1)</f>
        <v>0.77695375541795109</v>
      </c>
      <c r="BS482" s="4">
        <f>_xlfn.IFNA(VLOOKUP(Granger_Inventory[[#This Row],[condition]],Lookups!$A$38:$C$45,3,FALSE),1)</f>
        <v>0.92294678898076177</v>
      </c>
      <c r="BT482" s="4">
        <f>IF(Granger_Inventory[[#This Row],[decade]]="",1,_xlfn.IFNA(VLOOKUP(Granger_Inventory[[#This Row],[decade]],Lookups!$G$28:$I$42,3,FALSE),1))</f>
        <v>0.879441629375324</v>
      </c>
      <c r="BU482" s="4">
        <f>_xlfn.IFNA(VLOOKUP(Granger_Inventory[[#This Row],[living_area_range]],Lookups!$A$48:$C$57,3,FALSE),1)</f>
        <v>0.97960506760539345</v>
      </c>
      <c r="BV482" s="4">
        <f>AVERAGE(Granger_Inventory[[#This Row],[qual_adj]:[living_range_adj]])</f>
        <v>0.88973681034485752</v>
      </c>
      <c r="BW482" s="8">
        <f>(Granger_Inventory[[#This Row],[sum_land]]-IF(Granger_Inventory[[#This Row],[no_utilities]]=1,12000,0))/IF(Granger_Inventory[[#This Row],[unbuildable]]=1,2,1)</f>
        <v>23128.971718879347</v>
      </c>
      <c r="BX482" s="8">
        <f>Granger_Inventory[[#This Row],[pre_res]]*Granger_Inventory[[#This Row],[overall_adj]]</f>
        <v>126165.49663323334</v>
      </c>
      <c r="BY482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82">
        <f>ROUND(Granger_Inventory[[#This Row],[detatched_value]]*Lookups!$I$45,-2)</f>
        <v>4900</v>
      </c>
      <c r="CA482">
        <f>IF(ROUND(Granger_Inventory[[#This Row],[adj_res]]*Lookups!$I$45,-2)&lt;Granger_Inventory[[#This Row],[min_res]],Granger_Inventory[[#This Row],[min_res]],ROUND(Granger_Inventory[[#This Row],[adj_res]]*Lookups!$I$45,-2))</f>
        <v>119900</v>
      </c>
      <c r="CB482">
        <f>Granger_Inventory[[#This Row],[final_det]]+Granger_Inventory[[#This Row],[final_res]]</f>
        <v>124800</v>
      </c>
      <c r="CC482">
        <f>Granger_Inventory[[#This Row],[final_land]]+Granger_Inventory[[#This Row],[final_imp]]+Granger_Inventory[[#This Row],[crop_value]]</f>
        <v>146800</v>
      </c>
      <c r="CE482" t="str">
        <f t="shared" si="7"/>
        <v>update valuation set market_land =22000, market_bldg=124800, market_total =146800, market_mdno =402, market_date ='9/10/2023' where link_id = (select link_id from parcel where parcel_year = '2024' and parcel_id = '21102121447');</v>
      </c>
    </row>
    <row r="483" spans="1:83" x14ac:dyDescent="0.25">
      <c r="A483">
        <v>21102121448</v>
      </c>
      <c r="B483">
        <v>0.17</v>
      </c>
      <c r="C483">
        <v>7247</v>
      </c>
      <c r="D483" t="s">
        <v>137</v>
      </c>
      <c r="E483" t="s">
        <v>54</v>
      </c>
      <c r="F483" t="s">
        <v>54</v>
      </c>
      <c r="G483">
        <v>3</v>
      </c>
      <c r="H483" t="s">
        <v>55</v>
      </c>
      <c r="I483">
        <v>111400</v>
      </c>
      <c r="J483">
        <v>27100</v>
      </c>
      <c r="K483">
        <v>0.17</v>
      </c>
      <c r="L48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483">
        <v>0</v>
      </c>
      <c r="N483">
        <v>0</v>
      </c>
      <c r="O483">
        <v>0</v>
      </c>
      <c r="P483">
        <v>47108.068500000001</v>
      </c>
      <c r="Q483">
        <v>122298</v>
      </c>
      <c r="R483">
        <f>(Granger_Inventory[[#This Row],[ln_acres]]*Granger_Inventory[[#This Row],[coeff]])+Granger_Inventory[[#This Row],[const]]</f>
        <v>38824.535711229546</v>
      </c>
      <c r="S483" t="s">
        <v>69</v>
      </c>
      <c r="T483">
        <v>1</v>
      </c>
      <c r="U483" t="s">
        <v>78</v>
      </c>
      <c r="V483" t="s">
        <v>72</v>
      </c>
      <c r="W483">
        <v>0</v>
      </c>
      <c r="X483">
        <v>0</v>
      </c>
      <c r="Y483">
        <v>52</v>
      </c>
      <c r="Z483">
        <v>88</v>
      </c>
      <c r="AA483">
        <v>90</v>
      </c>
      <c r="AB483">
        <v>1500</v>
      </c>
      <c r="AC483">
        <v>1008</v>
      </c>
      <c r="AD483">
        <v>1008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40</v>
      </c>
      <c r="AN483">
        <v>96</v>
      </c>
      <c r="AO483">
        <v>40</v>
      </c>
      <c r="AP483">
        <v>5</v>
      </c>
      <c r="AQ483">
        <v>0</v>
      </c>
      <c r="AR483">
        <v>1</v>
      </c>
      <c r="AS483" t="s">
        <v>59</v>
      </c>
      <c r="AT483">
        <v>0</v>
      </c>
      <c r="AU483" t="s">
        <v>83</v>
      </c>
      <c r="AV483" t="s">
        <v>65</v>
      </c>
      <c r="AW483">
        <v>0</v>
      </c>
      <c r="AX483">
        <v>2</v>
      </c>
      <c r="AY483">
        <v>0</v>
      </c>
      <c r="AZ483">
        <v>0</v>
      </c>
      <c r="BA483">
        <v>100</v>
      </c>
      <c r="BB483">
        <v>100</v>
      </c>
      <c r="BC483">
        <v>100</v>
      </c>
      <c r="BD483">
        <v>100</v>
      </c>
      <c r="BE483">
        <v>1</v>
      </c>
      <c r="BF483">
        <v>15000</v>
      </c>
      <c r="BG483">
        <v>1000</v>
      </c>
      <c r="BH483" s="8">
        <f>Granger_Inventory[[#This Row],[land_extract]]*Lookups!$B$3</f>
        <v>23128.971718879347</v>
      </c>
      <c r="BI483" s="8">
        <f>IF(Granger_Inventory[[#This Row],[bldg_style]]="",0,Lookups!$B$2)</f>
        <v>29703.559000000001</v>
      </c>
      <c r="BJ483" s="8">
        <f>_xlfn.IFNA(VLOOKUP(Granger_Inventory[[#This Row],[quality]],Lookups!$H$2:$J$14,3,FALSE),0)</f>
        <v>23737.786340274597</v>
      </c>
      <c r="BK483" s="8">
        <f>_xlfn.IFNA(VLOOKUP(Granger_Inventory[[#This Row],[condition]],Lookups!$H$17:$J$24,3,FALSE),0)</f>
        <v>94106</v>
      </c>
      <c r="BL483" s="8">
        <f>Granger_Inventory[[#This Row],[Age]]*Lookups!$B$16</f>
        <v>-18245.1368</v>
      </c>
      <c r="BM483" s="8">
        <f>Granger_Inventory[[#This Row],[living_area]]*Lookups!$B$17</f>
        <v>67811.092271999994</v>
      </c>
      <c r="BN483" s="8">
        <f>(Granger_Inventory[[#This Row],[att_gar]]+Granger_Inventory[[#This Row],[blt_gar]])*Lookups!$B$18</f>
        <v>0</v>
      </c>
      <c r="BO483" s="8">
        <f>Granger_Inventory[[#This Row],[Patio]]*Lookups!$B$19</f>
        <v>2172.6038399999998</v>
      </c>
      <c r="BP483" s="8">
        <f>SUM(Granger_Inventory[[#This Row],[Intercept]:[Patio_Value]])*Granger_Inventory[[#This Row],[res_pct]]</f>
        <v>199285.90465227456</v>
      </c>
      <c r="BQ483" s="8">
        <f>Granger_Inventory[[#This Row],[land_value]]</f>
        <v>23128.971718879347</v>
      </c>
      <c r="BR483" s="4">
        <f>_xlfn.IFNA(VLOOKUP(Granger_Inventory[[#This Row],[quality]],Lookups!$A$25:$C$35,3,FALSE),1)</f>
        <v>0.77695375541795109</v>
      </c>
      <c r="BS483" s="4">
        <f>_xlfn.IFNA(VLOOKUP(Granger_Inventory[[#This Row],[condition]],Lookups!$A$38:$C$45,3,FALSE),1)</f>
        <v>0.98658583151544277</v>
      </c>
      <c r="BT483" s="4">
        <f>IF(Granger_Inventory[[#This Row],[decade]]="",1,_xlfn.IFNA(VLOOKUP(Granger_Inventory[[#This Row],[decade]],Lookups!$G$28:$I$42,3,FALSE),1))</f>
        <v>0.95234610137492615</v>
      </c>
      <c r="BU483" s="4">
        <f>_xlfn.IFNA(VLOOKUP(Granger_Inventory[[#This Row],[living_area_range]],Lookups!$A$48:$C$57,3,FALSE),1)</f>
        <v>0.97960506760539345</v>
      </c>
      <c r="BV483" s="4">
        <f>AVERAGE(Granger_Inventory[[#This Row],[qual_adj]:[living_range_adj]])</f>
        <v>0.92387268897842834</v>
      </c>
      <c r="BW483" s="8">
        <f>(Granger_Inventory[[#This Row],[sum_land]]-IF(Granger_Inventory[[#This Row],[no_utilities]]=1,12000,0))/IF(Granger_Inventory[[#This Row],[unbuildable]]=1,2,1)</f>
        <v>23128.971718879347</v>
      </c>
      <c r="BX483" s="8">
        <f>Granger_Inventory[[#This Row],[pre_res]]*Granger_Inventory[[#This Row],[overall_adj]]</f>
        <v>184114.80460659557</v>
      </c>
      <c r="BY48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483">
        <f>ROUND(Granger_Inventory[[#This Row],[detatched_value]]*Lookups!$I$45,-2)</f>
        <v>0</v>
      </c>
      <c r="CA483">
        <f>IF(ROUND(Granger_Inventory[[#This Row],[adj_res]]*Lookups!$I$45,-2)&lt;Granger_Inventory[[#This Row],[min_res]],Granger_Inventory[[#This Row],[min_res]],ROUND(Granger_Inventory[[#This Row],[adj_res]]*Lookups!$I$45,-2))</f>
        <v>174900</v>
      </c>
      <c r="CB483">
        <f>Granger_Inventory[[#This Row],[final_det]]+Granger_Inventory[[#This Row],[final_res]]</f>
        <v>174900</v>
      </c>
      <c r="CC483">
        <f>Granger_Inventory[[#This Row],[final_land]]+Granger_Inventory[[#This Row],[final_imp]]+Granger_Inventory[[#This Row],[crop_value]]</f>
        <v>196900</v>
      </c>
      <c r="CE483" t="str">
        <f t="shared" si="7"/>
        <v>update valuation set market_land =22000, market_bldg=174900, market_total =196900, market_mdno =402, market_date ='9/10/2023' where link_id = (select link_id from parcel where parcel_year = '2024' and parcel_id = '21102121448');</v>
      </c>
    </row>
    <row r="484" spans="1:83" x14ac:dyDescent="0.25">
      <c r="A484">
        <v>21102121449</v>
      </c>
      <c r="B484">
        <v>0.19</v>
      </c>
      <c r="C484">
        <v>8445</v>
      </c>
      <c r="D484" t="s">
        <v>137</v>
      </c>
      <c r="E484" t="s">
        <v>54</v>
      </c>
      <c r="F484" t="s">
        <v>54</v>
      </c>
      <c r="G484">
        <v>3</v>
      </c>
      <c r="H484" t="s">
        <v>55</v>
      </c>
      <c r="I484">
        <v>37500</v>
      </c>
      <c r="J484">
        <v>27700</v>
      </c>
      <c r="K484">
        <v>0.19</v>
      </c>
      <c r="L484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484">
        <v>0</v>
      </c>
      <c r="N484">
        <v>0</v>
      </c>
      <c r="O484">
        <v>0</v>
      </c>
      <c r="P484">
        <v>47108.068500000001</v>
      </c>
      <c r="Q484">
        <v>122298</v>
      </c>
      <c r="R484">
        <f>(Granger_Inventory[[#This Row],[ln_acres]]*Granger_Inventory[[#This Row],[coeff]])+Granger_Inventory[[#This Row],[const]]</f>
        <v>44064.160548957996</v>
      </c>
      <c r="S484" t="s">
        <v>69</v>
      </c>
      <c r="T484">
        <v>1</v>
      </c>
      <c r="U484" t="s">
        <v>78</v>
      </c>
      <c r="V484" t="s">
        <v>79</v>
      </c>
      <c r="W484">
        <v>0</v>
      </c>
      <c r="X484">
        <v>0</v>
      </c>
      <c r="Y484">
        <v>57</v>
      </c>
      <c r="Z484">
        <v>103</v>
      </c>
      <c r="AA484">
        <v>110</v>
      </c>
      <c r="AB484">
        <v>1000</v>
      </c>
      <c r="AC484">
        <v>800</v>
      </c>
      <c r="AD484">
        <v>800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91</v>
      </c>
      <c r="AO484">
        <v>0</v>
      </c>
      <c r="AP484">
        <v>5</v>
      </c>
      <c r="AQ484">
        <v>0</v>
      </c>
      <c r="AR484">
        <v>0</v>
      </c>
      <c r="AS484" t="s">
        <v>59</v>
      </c>
      <c r="AT484">
        <v>0</v>
      </c>
      <c r="AU484" t="s">
        <v>83</v>
      </c>
      <c r="AV484" t="s">
        <v>61</v>
      </c>
      <c r="AW484">
        <v>0</v>
      </c>
      <c r="AX484">
        <v>2</v>
      </c>
      <c r="AY484">
        <v>0</v>
      </c>
      <c r="AZ484">
        <v>0</v>
      </c>
      <c r="BA484">
        <v>100</v>
      </c>
      <c r="BB484">
        <v>100</v>
      </c>
      <c r="BC484">
        <v>100</v>
      </c>
      <c r="BD484">
        <v>100</v>
      </c>
      <c r="BE484">
        <v>1</v>
      </c>
      <c r="BF484">
        <v>15000</v>
      </c>
      <c r="BG484">
        <v>1000</v>
      </c>
      <c r="BH484" s="8">
        <f>Granger_Inventory[[#This Row],[land_extract]]*Lookups!$B$3</f>
        <v>26250.377615159185</v>
      </c>
      <c r="BI484" s="8">
        <f>IF(Granger_Inventory[[#This Row],[bldg_style]]="",0,Lookups!$B$2)</f>
        <v>29703.559000000001</v>
      </c>
      <c r="BJ484" s="8">
        <f>_xlfn.IFNA(VLOOKUP(Granger_Inventory[[#This Row],[quality]],Lookups!$H$2:$J$14,3,FALSE),0)</f>
        <v>23737.786340274597</v>
      </c>
      <c r="BK484" s="8">
        <f>_xlfn.IFNA(VLOOKUP(Granger_Inventory[[#This Row],[condition]],Lookups!$H$17:$J$24,3,FALSE),0)</f>
        <v>86727</v>
      </c>
      <c r="BL484" s="8">
        <f>Granger_Inventory[[#This Row],[Age]]*Lookups!$B$16</f>
        <v>-21355.103299999999</v>
      </c>
      <c r="BM484" s="8">
        <f>Granger_Inventory[[#This Row],[living_area]]*Lookups!$B$17</f>
        <v>53818.3272</v>
      </c>
      <c r="BN484" s="8">
        <f>(Granger_Inventory[[#This Row],[att_gar]]+Granger_Inventory[[#This Row],[blt_gar]])*Lookups!$B$18</f>
        <v>0</v>
      </c>
      <c r="BO484" s="8">
        <f>Granger_Inventory[[#This Row],[Patio]]*Lookups!$B$19</f>
        <v>0</v>
      </c>
      <c r="BP484" s="8">
        <f>SUM(Granger_Inventory[[#This Row],[Intercept]:[Patio_Value]])*Granger_Inventory[[#This Row],[res_pct]]</f>
        <v>172631.56924027461</v>
      </c>
      <c r="BQ484" s="8">
        <f>Granger_Inventory[[#This Row],[land_value]]</f>
        <v>26250.377615159185</v>
      </c>
      <c r="BR484" s="4">
        <f>_xlfn.IFNA(VLOOKUP(Granger_Inventory[[#This Row],[quality]],Lookups!$A$25:$C$35,3,FALSE),1)</f>
        <v>0.77695375541795109</v>
      </c>
      <c r="BS484" s="4">
        <f>_xlfn.IFNA(VLOOKUP(Granger_Inventory[[#This Row],[condition]],Lookups!$A$38:$C$45,3,FALSE),1)</f>
        <v>0.85322907131620684</v>
      </c>
      <c r="BT484" s="4">
        <f>IF(Granger_Inventory[[#This Row],[decade]]="",1,_xlfn.IFNA(VLOOKUP(Granger_Inventory[[#This Row],[decade]],Lookups!$G$28:$I$42,3,FALSE),1))</f>
        <v>0.879441629375324</v>
      </c>
      <c r="BU484" s="4">
        <f>_xlfn.IFNA(VLOOKUP(Granger_Inventory[[#This Row],[living_area_range]],Lookups!$A$48:$C$57,3,FALSE),1)</f>
        <v>0.81272404900450645</v>
      </c>
      <c r="BV484" s="4">
        <f>AVERAGE(Granger_Inventory[[#This Row],[qual_adj]:[living_range_adj]])</f>
        <v>0.83058712627849718</v>
      </c>
      <c r="BW484" s="8">
        <f>(Granger_Inventory[[#This Row],[sum_land]]-IF(Granger_Inventory[[#This Row],[no_utilities]]=1,12000,0))/IF(Granger_Inventory[[#This Row],[unbuildable]]=1,2,1)</f>
        <v>26250.377615159185</v>
      </c>
      <c r="BX484" s="8">
        <f>Granger_Inventory[[#This Row],[pre_res]]*Granger_Inventory[[#This Row],[overall_adj]]</f>
        <v>143385.55900022711</v>
      </c>
      <c r="BY484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484">
        <f>ROUND(Granger_Inventory[[#This Row],[detatched_value]]*Lookups!$I$45,-2)</f>
        <v>0</v>
      </c>
      <c r="CA484">
        <f>IF(ROUND(Granger_Inventory[[#This Row],[adj_res]]*Lookups!$I$45,-2)&lt;Granger_Inventory[[#This Row],[min_res]],Granger_Inventory[[#This Row],[min_res]],ROUND(Granger_Inventory[[#This Row],[adj_res]]*Lookups!$I$45,-2))</f>
        <v>136200</v>
      </c>
      <c r="CB484">
        <f>Granger_Inventory[[#This Row],[final_det]]+Granger_Inventory[[#This Row],[final_res]]</f>
        <v>136200</v>
      </c>
      <c r="CC484">
        <f>Granger_Inventory[[#This Row],[final_land]]+Granger_Inventory[[#This Row],[final_imp]]+Granger_Inventory[[#This Row],[crop_value]]</f>
        <v>161100</v>
      </c>
      <c r="CE484" t="str">
        <f t="shared" si="7"/>
        <v>update valuation set market_land =24900, market_bldg=136200, market_total =161100, market_mdno =402, market_date ='9/10/2023' where link_id = (select link_id from parcel where parcel_year = '2024' and parcel_id = '21102121449');</v>
      </c>
    </row>
    <row r="485" spans="1:83" x14ac:dyDescent="0.25">
      <c r="A485">
        <v>21102121453</v>
      </c>
      <c r="B485">
        <v>0.2</v>
      </c>
      <c r="C485">
        <v>8586</v>
      </c>
      <c r="D485" t="s">
        <v>137</v>
      </c>
      <c r="E485" t="s">
        <v>54</v>
      </c>
      <c r="F485" t="s">
        <v>54</v>
      </c>
      <c r="G485">
        <v>3</v>
      </c>
      <c r="H485" t="s">
        <v>55</v>
      </c>
      <c r="I485">
        <v>179000</v>
      </c>
      <c r="J485">
        <v>28000</v>
      </c>
      <c r="K485">
        <v>0.2</v>
      </c>
      <c r="L485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485">
        <v>0</v>
      </c>
      <c r="N485">
        <v>0</v>
      </c>
      <c r="O485">
        <v>0</v>
      </c>
      <c r="P485">
        <v>47108.068500000001</v>
      </c>
      <c r="Q485">
        <v>122298</v>
      </c>
      <c r="R485">
        <f>(Granger_Inventory[[#This Row],[ln_acres]]*Granger_Inventory[[#This Row],[coeff]])+Granger_Inventory[[#This Row],[const]]</f>
        <v>46480.488574557399</v>
      </c>
      <c r="S485" t="s">
        <v>62</v>
      </c>
      <c r="T485">
        <v>1</v>
      </c>
      <c r="U485" t="s">
        <v>71</v>
      </c>
      <c r="V485" t="s">
        <v>72</v>
      </c>
      <c r="W485">
        <v>0</v>
      </c>
      <c r="X485">
        <v>0</v>
      </c>
      <c r="Y485">
        <v>23</v>
      </c>
      <c r="Z485">
        <v>23</v>
      </c>
      <c r="AA485">
        <v>30</v>
      </c>
      <c r="AB485">
        <v>1500</v>
      </c>
      <c r="AC485">
        <v>1008</v>
      </c>
      <c r="AD485">
        <v>1008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16</v>
      </c>
      <c r="AO485">
        <v>0</v>
      </c>
      <c r="AP485">
        <v>8</v>
      </c>
      <c r="AQ485">
        <v>0</v>
      </c>
      <c r="AR485">
        <v>0</v>
      </c>
      <c r="AS485" t="s">
        <v>59</v>
      </c>
      <c r="AT485">
        <v>1</v>
      </c>
      <c r="AU485" t="s">
        <v>60</v>
      </c>
      <c r="AV485" t="s">
        <v>65</v>
      </c>
      <c r="AW485">
        <v>0</v>
      </c>
      <c r="AX485">
        <v>3</v>
      </c>
      <c r="AY485">
        <v>0</v>
      </c>
      <c r="AZ485">
        <v>0</v>
      </c>
      <c r="BA485">
        <v>100</v>
      </c>
      <c r="BB485">
        <v>100</v>
      </c>
      <c r="BC485">
        <v>100</v>
      </c>
      <c r="BD485">
        <v>100</v>
      </c>
      <c r="BE485">
        <v>1</v>
      </c>
      <c r="BF485">
        <v>15000</v>
      </c>
      <c r="BG485">
        <v>1000</v>
      </c>
      <c r="BH485" s="8">
        <f>Granger_Inventory[[#This Row],[land_extract]]*Lookups!$B$3</f>
        <v>27689.858642911939</v>
      </c>
      <c r="BI485" s="8">
        <f>IF(Granger_Inventory[[#This Row],[bldg_style]]="",0,Lookups!$B$2)</f>
        <v>29703.559000000001</v>
      </c>
      <c r="BJ485" s="8">
        <f>_xlfn.IFNA(VLOOKUP(Granger_Inventory[[#This Row],[quality]],Lookups!$H$2:$J$14,3,FALSE),0)</f>
        <v>34195</v>
      </c>
      <c r="BK485" s="8">
        <f>_xlfn.IFNA(VLOOKUP(Granger_Inventory[[#This Row],[condition]],Lookups!$H$17:$J$24,3,FALSE),0)</f>
        <v>94106</v>
      </c>
      <c r="BL485" s="8">
        <f>Granger_Inventory[[#This Row],[Age]]*Lookups!$B$16</f>
        <v>-4768.6152999999995</v>
      </c>
      <c r="BM485" s="8">
        <f>Granger_Inventory[[#This Row],[living_area]]*Lookups!$B$17</f>
        <v>67811.092271999994</v>
      </c>
      <c r="BN485" s="8">
        <f>(Granger_Inventory[[#This Row],[att_gar]]+Granger_Inventory[[#This Row],[blt_gar]])*Lookups!$B$18</f>
        <v>0</v>
      </c>
      <c r="BO485" s="8">
        <f>Granger_Inventory[[#This Row],[Patio]]*Lookups!$B$19</f>
        <v>0</v>
      </c>
      <c r="BP485" s="8">
        <f>SUM(Granger_Inventory[[#This Row],[Intercept]:[Patio_Value]])*Granger_Inventory[[#This Row],[res_pct]]</f>
        <v>221047.03597199998</v>
      </c>
      <c r="BQ485" s="8">
        <f>Granger_Inventory[[#This Row],[land_value]]</f>
        <v>27689.858642911939</v>
      </c>
      <c r="BR485" s="4">
        <f>_xlfn.IFNA(VLOOKUP(Granger_Inventory[[#This Row],[quality]],Lookups!$A$25:$C$35,3,FALSE),1)</f>
        <v>0.98258795897788032</v>
      </c>
      <c r="BS485" s="4">
        <f>_xlfn.IFNA(VLOOKUP(Granger_Inventory[[#This Row],[condition]],Lookups!$A$38:$C$45,3,FALSE),1)</f>
        <v>0.98658583151544277</v>
      </c>
      <c r="BT485" s="4">
        <f>IF(Granger_Inventory[[#This Row],[decade]]="",1,_xlfn.IFNA(VLOOKUP(Granger_Inventory[[#This Row],[decade]],Lookups!$G$28:$I$42,3,FALSE),1))</f>
        <v>1.0539470644652671</v>
      </c>
      <c r="BU485" s="4">
        <f>_xlfn.IFNA(VLOOKUP(Granger_Inventory[[#This Row],[living_area_range]],Lookups!$A$48:$C$57,3,FALSE),1)</f>
        <v>0.97960506760539345</v>
      </c>
      <c r="BV485" s="4">
        <f>AVERAGE(Granger_Inventory[[#This Row],[qual_adj]:[living_range_adj]])</f>
        <v>1.0006814806409958</v>
      </c>
      <c r="BW485" s="8">
        <f>(Granger_Inventory[[#This Row],[sum_land]]-IF(Granger_Inventory[[#This Row],[no_utilities]]=1,12000,0))/IF(Granger_Inventory[[#This Row],[unbuildable]]=1,2,1)</f>
        <v>27689.858642911939</v>
      </c>
      <c r="BX485" s="8">
        <f>Granger_Inventory[[#This Row],[pre_res]]*Granger_Inventory[[#This Row],[overall_adj]]</f>
        <v>221197.67524776442</v>
      </c>
      <c r="BY485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485">
        <f>ROUND(Granger_Inventory[[#This Row],[detatched_value]]*Lookups!$I$45,-2)</f>
        <v>0</v>
      </c>
      <c r="CA485">
        <f>IF(ROUND(Granger_Inventory[[#This Row],[adj_res]]*Lookups!$I$45,-2)&lt;Granger_Inventory[[#This Row],[min_res]],Granger_Inventory[[#This Row],[min_res]],ROUND(Granger_Inventory[[#This Row],[adj_res]]*Lookups!$I$45,-2))</f>
        <v>210100</v>
      </c>
      <c r="CB485">
        <f>Granger_Inventory[[#This Row],[final_det]]+Granger_Inventory[[#This Row],[final_res]]</f>
        <v>210100</v>
      </c>
      <c r="CC485">
        <f>Granger_Inventory[[#This Row],[final_land]]+Granger_Inventory[[#This Row],[final_imp]]+Granger_Inventory[[#This Row],[crop_value]]</f>
        <v>236400</v>
      </c>
      <c r="CE485" t="str">
        <f t="shared" si="7"/>
        <v>update valuation set market_land =26300, market_bldg=210100, market_total =236400, market_mdno =402, market_date ='9/10/2023' where link_id = (select link_id from parcel where parcel_year = '2024' and parcel_id = '21102121453');</v>
      </c>
    </row>
    <row r="486" spans="1:83" x14ac:dyDescent="0.25">
      <c r="A486">
        <v>21102121454</v>
      </c>
      <c r="B486">
        <v>0.54</v>
      </c>
      <c r="C486">
        <v>23404</v>
      </c>
      <c r="D486" t="s">
        <v>137</v>
      </c>
      <c r="E486" t="s">
        <v>54</v>
      </c>
      <c r="F486" t="s">
        <v>54</v>
      </c>
      <c r="G486">
        <v>3</v>
      </c>
      <c r="H486" t="s">
        <v>55</v>
      </c>
      <c r="I486">
        <v>107600</v>
      </c>
      <c r="J486">
        <v>33900</v>
      </c>
      <c r="K486">
        <v>0.54</v>
      </c>
      <c r="L486">
        <f>IF(Granger_Inventory[[#This Row],[parcel_acres]]-Granger_Inventory[[#This Row],[non_valued_acres]] =0,0,LN(Granger_Inventory[[#This Row],[parcel_acres]]-Granger_Inventory[[#This Row],[non_valued_acres]]))</f>
        <v>-0.61618613942381695</v>
      </c>
      <c r="M486">
        <v>0</v>
      </c>
      <c r="N486">
        <v>0</v>
      </c>
      <c r="O486">
        <v>0</v>
      </c>
      <c r="P486">
        <v>47108.068500000001</v>
      </c>
      <c r="Q486">
        <v>122298</v>
      </c>
      <c r="R486">
        <f>(Granger_Inventory[[#This Row],[ln_acres]]*Granger_Inventory[[#This Row],[coeff]])+Granger_Inventory[[#This Row],[const]]</f>
        <v>93270.661135272283</v>
      </c>
      <c r="S486" t="s">
        <v>56</v>
      </c>
      <c r="T486">
        <v>1</v>
      </c>
      <c r="U486" t="s">
        <v>71</v>
      </c>
      <c r="V486" t="s">
        <v>77</v>
      </c>
      <c r="W486">
        <v>0</v>
      </c>
      <c r="X486">
        <v>0</v>
      </c>
      <c r="Y486">
        <v>45</v>
      </c>
      <c r="Z486">
        <v>51</v>
      </c>
      <c r="AA486">
        <v>60</v>
      </c>
      <c r="AB486">
        <v>1500</v>
      </c>
      <c r="AC486">
        <v>1050</v>
      </c>
      <c r="AD486">
        <v>1050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100</v>
      </c>
      <c r="AN486">
        <v>0</v>
      </c>
      <c r="AO486">
        <v>0</v>
      </c>
      <c r="AP486">
        <v>8</v>
      </c>
      <c r="AQ486">
        <v>0</v>
      </c>
      <c r="AR486">
        <v>0</v>
      </c>
      <c r="AS486" t="s">
        <v>59</v>
      </c>
      <c r="AT486">
        <v>1</v>
      </c>
      <c r="AU486" t="s">
        <v>68</v>
      </c>
      <c r="AV486" t="s">
        <v>65</v>
      </c>
      <c r="AW486">
        <v>0</v>
      </c>
      <c r="AX486">
        <v>3</v>
      </c>
      <c r="AY486">
        <v>0</v>
      </c>
      <c r="AZ486">
        <v>0</v>
      </c>
      <c r="BA486">
        <v>100</v>
      </c>
      <c r="BB486">
        <v>100</v>
      </c>
      <c r="BC486">
        <v>100</v>
      </c>
      <c r="BD486">
        <v>100</v>
      </c>
      <c r="BE486">
        <v>1</v>
      </c>
      <c r="BF486">
        <v>15000</v>
      </c>
      <c r="BG486">
        <v>1000</v>
      </c>
      <c r="BH486" s="8">
        <f>Granger_Inventory[[#This Row],[land_extract]]*Lookups!$B$3</f>
        <v>55564.205574644664</v>
      </c>
      <c r="BI486" s="8">
        <f>IF(Granger_Inventory[[#This Row],[bldg_style]]="",0,Lookups!$B$2)</f>
        <v>29703.559000000001</v>
      </c>
      <c r="BJ486" s="8">
        <f>_xlfn.IFNA(VLOOKUP(Granger_Inventory[[#This Row],[quality]],Lookups!$H$2:$J$14,3,FALSE),0)</f>
        <v>34195</v>
      </c>
      <c r="BK486" s="8">
        <f>_xlfn.IFNA(VLOOKUP(Granger_Inventory[[#This Row],[condition]],Lookups!$H$17:$J$24,3,FALSE),0)</f>
        <v>33736</v>
      </c>
      <c r="BL486" s="8">
        <f>Granger_Inventory[[#This Row],[Age]]*Lookups!$B$16</f>
        <v>-10573.8861</v>
      </c>
      <c r="BM486" s="8">
        <f>Granger_Inventory[[#This Row],[living_area]]*Lookups!$B$17</f>
        <v>70636.554449999996</v>
      </c>
      <c r="BN486" s="8">
        <f>(Granger_Inventory[[#This Row],[att_gar]]+Granger_Inventory[[#This Row],[blt_gar]])*Lookups!$B$18</f>
        <v>0</v>
      </c>
      <c r="BO486" s="8">
        <f>Granger_Inventory[[#This Row],[Patio]]*Lookups!$B$19</f>
        <v>5431.5095999999994</v>
      </c>
      <c r="BP486" s="8">
        <f>SUM(Granger_Inventory[[#This Row],[Intercept]:[Patio_Value]])*Granger_Inventory[[#This Row],[res_pct]]</f>
        <v>163128.73694999999</v>
      </c>
      <c r="BQ486" s="8">
        <f>Granger_Inventory[[#This Row],[land_value]]</f>
        <v>55564.205574644664</v>
      </c>
      <c r="BR486" s="4">
        <f>_xlfn.IFNA(VLOOKUP(Granger_Inventory[[#This Row],[quality]],Lookups!$A$25:$C$35,3,FALSE),1)</f>
        <v>0.98258795897788032</v>
      </c>
      <c r="BS486" s="4">
        <f>_xlfn.IFNA(VLOOKUP(Granger_Inventory[[#This Row],[condition]],Lookups!$A$38:$C$45,3,FALSE),1)</f>
        <v>0.92294678898076177</v>
      </c>
      <c r="BT486" s="4">
        <f>IF(Granger_Inventory[[#This Row],[decade]]="",1,_xlfn.IFNA(VLOOKUP(Granger_Inventory[[#This Row],[decade]],Lookups!$G$28:$I$42,3,FALSE),1))</f>
        <v>0.86581421791274704</v>
      </c>
      <c r="BU486" s="4">
        <f>_xlfn.IFNA(VLOOKUP(Granger_Inventory[[#This Row],[living_area_range]],Lookups!$A$48:$C$57,3,FALSE),1)</f>
        <v>0.97960506760539345</v>
      </c>
      <c r="BV486" s="4">
        <f>AVERAGE(Granger_Inventory[[#This Row],[qual_adj]:[living_range_adj]])</f>
        <v>0.93773850836919559</v>
      </c>
      <c r="BW486" s="8">
        <f>(Granger_Inventory[[#This Row],[sum_land]]-IF(Granger_Inventory[[#This Row],[no_utilities]]=1,12000,0))/IF(Granger_Inventory[[#This Row],[unbuildable]]=1,2,1)</f>
        <v>55564.205574644664</v>
      </c>
      <c r="BX486" s="8">
        <f>Granger_Inventory[[#This Row],[pre_res]]*Granger_Inventory[[#This Row],[overall_adj]]</f>
        <v>152972.09845964386</v>
      </c>
      <c r="BY486">
        <f>IF(ROUND(Granger_Inventory[[#This Row],[adj_land]]*Lookups!$I$45,-2)&lt;Granger_Inventory[[#This Row],[min_land]],Granger_Inventory[[#This Row],[min_land]],ROUND(Granger_Inventory[[#This Row],[adj_land]]*Lookups!$I$45,-2))</f>
        <v>52800</v>
      </c>
      <c r="BZ486">
        <f>ROUND(Granger_Inventory[[#This Row],[detatched_value]]*Lookups!$I$45,-2)</f>
        <v>0</v>
      </c>
      <c r="CA486">
        <f>IF(ROUND(Granger_Inventory[[#This Row],[adj_res]]*Lookups!$I$45,-2)&lt;Granger_Inventory[[#This Row],[min_res]],Granger_Inventory[[#This Row],[min_res]],ROUND(Granger_Inventory[[#This Row],[adj_res]]*Lookups!$I$45,-2))</f>
        <v>145300</v>
      </c>
      <c r="CB486">
        <f>Granger_Inventory[[#This Row],[final_det]]+Granger_Inventory[[#This Row],[final_res]]</f>
        <v>145300</v>
      </c>
      <c r="CC486">
        <f>Granger_Inventory[[#This Row],[final_land]]+Granger_Inventory[[#This Row],[final_imp]]+Granger_Inventory[[#This Row],[crop_value]]</f>
        <v>198100</v>
      </c>
      <c r="CE486" t="str">
        <f t="shared" si="7"/>
        <v>update valuation set market_land =52800, market_bldg=145300, market_total =198100, market_mdno =402, market_date ='9/10/2023' where link_id = (select link_id from parcel where parcel_year = '2024' and parcel_id = '21102121454');</v>
      </c>
    </row>
    <row r="487" spans="1:83" x14ac:dyDescent="0.25">
      <c r="A487">
        <v>21102121455</v>
      </c>
      <c r="B487">
        <v>0.35</v>
      </c>
      <c r="C487">
        <v>15343</v>
      </c>
      <c r="D487" t="s">
        <v>137</v>
      </c>
      <c r="E487" t="s">
        <v>54</v>
      </c>
      <c r="F487" t="s">
        <v>54</v>
      </c>
      <c r="G487">
        <v>3</v>
      </c>
      <c r="H487" t="s">
        <v>55</v>
      </c>
      <c r="I487">
        <v>133600</v>
      </c>
      <c r="J487">
        <v>31300</v>
      </c>
      <c r="K487">
        <v>0.35</v>
      </c>
      <c r="L487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487">
        <v>0</v>
      </c>
      <c r="N487">
        <v>0</v>
      </c>
      <c r="O487">
        <v>0</v>
      </c>
      <c r="P487">
        <v>47108.068500000001</v>
      </c>
      <c r="Q487">
        <v>122298</v>
      </c>
      <c r="R487">
        <f>(Granger_Inventory[[#This Row],[ln_acres]]*Granger_Inventory[[#This Row],[coeff]])+Granger_Inventory[[#This Row],[const]]</f>
        <v>72842.907446300756</v>
      </c>
      <c r="S487" t="s">
        <v>56</v>
      </c>
      <c r="T487">
        <v>1</v>
      </c>
      <c r="U487" t="s">
        <v>71</v>
      </c>
      <c r="V487" t="s">
        <v>77</v>
      </c>
      <c r="W487">
        <v>0</v>
      </c>
      <c r="X487">
        <v>0</v>
      </c>
      <c r="Y487">
        <v>46</v>
      </c>
      <c r="Z487">
        <v>53</v>
      </c>
      <c r="AA487">
        <v>60</v>
      </c>
      <c r="AB487">
        <v>1500</v>
      </c>
      <c r="AC487">
        <v>1196</v>
      </c>
      <c r="AD487">
        <v>1196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198</v>
      </c>
      <c r="AL487">
        <v>0</v>
      </c>
      <c r="AM487">
        <v>0</v>
      </c>
      <c r="AN487">
        <v>0</v>
      </c>
      <c r="AO487">
        <v>0</v>
      </c>
      <c r="AP487">
        <v>5</v>
      </c>
      <c r="AQ487">
        <v>0</v>
      </c>
      <c r="AR487">
        <v>0</v>
      </c>
      <c r="AS487" t="s">
        <v>59</v>
      </c>
      <c r="AT487">
        <v>1</v>
      </c>
      <c r="AU487" t="s">
        <v>60</v>
      </c>
      <c r="AV487" t="s">
        <v>61</v>
      </c>
      <c r="AW487">
        <v>0</v>
      </c>
      <c r="AX487">
        <v>4</v>
      </c>
      <c r="AY487">
        <v>0</v>
      </c>
      <c r="AZ487">
        <v>0</v>
      </c>
      <c r="BA487">
        <v>100</v>
      </c>
      <c r="BB487">
        <v>100</v>
      </c>
      <c r="BC487">
        <v>100</v>
      </c>
      <c r="BD487">
        <v>100</v>
      </c>
      <c r="BE487">
        <v>1</v>
      </c>
      <c r="BF487">
        <v>15000</v>
      </c>
      <c r="BG487">
        <v>1000</v>
      </c>
      <c r="BH487" s="8">
        <f>Granger_Inventory[[#This Row],[land_extract]]*Lookups!$B$3</f>
        <v>43394.763527310708</v>
      </c>
      <c r="BI487" s="8">
        <f>IF(Granger_Inventory[[#This Row],[bldg_style]]="",0,Lookups!$B$2)</f>
        <v>29703.559000000001</v>
      </c>
      <c r="BJ487" s="8">
        <f>_xlfn.IFNA(VLOOKUP(Granger_Inventory[[#This Row],[quality]],Lookups!$H$2:$J$14,3,FALSE),0)</f>
        <v>34195</v>
      </c>
      <c r="BK487" s="8">
        <f>_xlfn.IFNA(VLOOKUP(Granger_Inventory[[#This Row],[condition]],Lookups!$H$17:$J$24,3,FALSE),0)</f>
        <v>33736</v>
      </c>
      <c r="BL487" s="8">
        <f>Granger_Inventory[[#This Row],[Age]]*Lookups!$B$16</f>
        <v>-10988.5483</v>
      </c>
      <c r="BM487" s="8">
        <f>Granger_Inventory[[#This Row],[living_area]]*Lookups!$B$17</f>
        <v>80458.399164000002</v>
      </c>
      <c r="BN487" s="8">
        <f>(Granger_Inventory[[#This Row],[att_gar]]+Granger_Inventory[[#This Row],[blt_gar]])*Lookups!$B$18</f>
        <v>0</v>
      </c>
      <c r="BO487" s="8">
        <f>Granger_Inventory[[#This Row],[Patio]]*Lookups!$B$19</f>
        <v>0</v>
      </c>
      <c r="BP487" s="8">
        <f>SUM(Granger_Inventory[[#This Row],[Intercept]:[Patio_Value]])*Granger_Inventory[[#This Row],[res_pct]]</f>
        <v>167104.40986400002</v>
      </c>
      <c r="BQ487" s="8">
        <f>Granger_Inventory[[#This Row],[land_value]]</f>
        <v>43394.763527310708</v>
      </c>
      <c r="BR487" s="4">
        <f>_xlfn.IFNA(VLOOKUP(Granger_Inventory[[#This Row],[quality]],Lookups!$A$25:$C$35,3,FALSE),1)</f>
        <v>0.98258795897788032</v>
      </c>
      <c r="BS487" s="4">
        <f>_xlfn.IFNA(VLOOKUP(Granger_Inventory[[#This Row],[condition]],Lookups!$A$38:$C$45,3,FALSE),1)</f>
        <v>0.92294678898076177</v>
      </c>
      <c r="BT487" s="4">
        <f>IF(Granger_Inventory[[#This Row],[decade]]="",1,_xlfn.IFNA(VLOOKUP(Granger_Inventory[[#This Row],[decade]],Lookups!$G$28:$I$42,3,FALSE),1))</f>
        <v>0.86581421791274704</v>
      </c>
      <c r="BU487" s="4">
        <f>_xlfn.IFNA(VLOOKUP(Granger_Inventory[[#This Row],[living_area_range]],Lookups!$A$48:$C$57,3,FALSE),1)</f>
        <v>0.97960506760539345</v>
      </c>
      <c r="BV487" s="4">
        <f>AVERAGE(Granger_Inventory[[#This Row],[qual_adj]:[living_range_adj]])</f>
        <v>0.93773850836919559</v>
      </c>
      <c r="BW487" s="8">
        <f>(Granger_Inventory[[#This Row],[sum_land]]-IF(Granger_Inventory[[#This Row],[no_utilities]]=1,12000,0))/IF(Granger_Inventory[[#This Row],[unbuildable]]=1,2,1)</f>
        <v>43394.763527310708</v>
      </c>
      <c r="BX487" s="8">
        <f>Granger_Inventory[[#This Row],[pre_res]]*Granger_Inventory[[#This Row],[overall_adj]]</f>
        <v>156700.24004778208</v>
      </c>
      <c r="BY487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487">
        <f>ROUND(Granger_Inventory[[#This Row],[detatched_value]]*Lookups!$I$45,-2)</f>
        <v>0</v>
      </c>
      <c r="CA487">
        <f>IF(ROUND(Granger_Inventory[[#This Row],[adj_res]]*Lookups!$I$45,-2)&lt;Granger_Inventory[[#This Row],[min_res]],Granger_Inventory[[#This Row],[min_res]],ROUND(Granger_Inventory[[#This Row],[adj_res]]*Lookups!$I$45,-2))</f>
        <v>148900</v>
      </c>
      <c r="CB487">
        <f>Granger_Inventory[[#This Row],[final_det]]+Granger_Inventory[[#This Row],[final_res]]</f>
        <v>148900</v>
      </c>
      <c r="CC487">
        <f>Granger_Inventory[[#This Row],[final_land]]+Granger_Inventory[[#This Row],[final_imp]]+Granger_Inventory[[#This Row],[crop_value]]</f>
        <v>190100</v>
      </c>
      <c r="CE487" t="str">
        <f t="shared" si="7"/>
        <v>update valuation set market_land =41200, market_bldg=148900, market_total =190100, market_mdno =402, market_date ='9/10/2023' where link_id = (select link_id from parcel where parcel_year = '2024' and parcel_id = '21102121455');</v>
      </c>
    </row>
    <row r="488" spans="1:83" x14ac:dyDescent="0.25">
      <c r="A488">
        <v>21102121456</v>
      </c>
      <c r="B488">
        <v>0.36</v>
      </c>
      <c r="C488">
        <v>15851</v>
      </c>
      <c r="D488" t="s">
        <v>137</v>
      </c>
      <c r="E488" t="s">
        <v>54</v>
      </c>
      <c r="F488" t="s">
        <v>54</v>
      </c>
      <c r="G488">
        <v>3</v>
      </c>
      <c r="H488" t="s">
        <v>55</v>
      </c>
      <c r="I488">
        <v>100700</v>
      </c>
      <c r="J488">
        <v>31500</v>
      </c>
      <c r="K488">
        <v>0.36</v>
      </c>
      <c r="L488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488">
        <v>0</v>
      </c>
      <c r="N488">
        <v>0</v>
      </c>
      <c r="O488">
        <v>0</v>
      </c>
      <c r="P488">
        <v>47108.068500000001</v>
      </c>
      <c r="Q488">
        <v>122298</v>
      </c>
      <c r="R488">
        <f>(Granger_Inventory[[#This Row],[ln_acres]]*Granger_Inventory[[#This Row],[coeff]])+Granger_Inventory[[#This Row],[const]]</f>
        <v>74169.983048152964</v>
      </c>
      <c r="S488" t="s">
        <v>56</v>
      </c>
      <c r="T488">
        <v>1</v>
      </c>
      <c r="U488" t="s">
        <v>71</v>
      </c>
      <c r="V488" t="s">
        <v>77</v>
      </c>
      <c r="W488">
        <v>0</v>
      </c>
      <c r="X488">
        <v>0</v>
      </c>
      <c r="Y488">
        <v>46</v>
      </c>
      <c r="Z488">
        <v>53</v>
      </c>
      <c r="AA488">
        <v>60</v>
      </c>
      <c r="AB488">
        <v>1000</v>
      </c>
      <c r="AC488">
        <v>960</v>
      </c>
      <c r="AD488">
        <v>960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264</v>
      </c>
      <c r="AL488">
        <v>0</v>
      </c>
      <c r="AM488">
        <v>0</v>
      </c>
      <c r="AN488">
        <v>0</v>
      </c>
      <c r="AO488">
        <v>0</v>
      </c>
      <c r="AP488">
        <v>8</v>
      </c>
      <c r="AQ488">
        <v>0</v>
      </c>
      <c r="AR488">
        <v>0</v>
      </c>
      <c r="AS488" t="s">
        <v>81</v>
      </c>
      <c r="AT488">
        <v>1</v>
      </c>
      <c r="AU488" t="s">
        <v>68</v>
      </c>
      <c r="AV488" t="s">
        <v>65</v>
      </c>
      <c r="AW488">
        <v>0</v>
      </c>
      <c r="AX488">
        <v>3</v>
      </c>
      <c r="AY488">
        <v>0</v>
      </c>
      <c r="AZ488">
        <v>0</v>
      </c>
      <c r="BA488">
        <v>100</v>
      </c>
      <c r="BB488">
        <v>100</v>
      </c>
      <c r="BC488">
        <v>100</v>
      </c>
      <c r="BD488">
        <v>100</v>
      </c>
      <c r="BE488">
        <v>1</v>
      </c>
      <c r="BF488">
        <v>15000</v>
      </c>
      <c r="BG488">
        <v>1000</v>
      </c>
      <c r="BH488" s="8">
        <f>Granger_Inventory[[#This Row],[land_extract]]*Lookups!$B$3</f>
        <v>44185.343337262602</v>
      </c>
      <c r="BI488" s="8">
        <f>IF(Granger_Inventory[[#This Row],[bldg_style]]="",0,Lookups!$B$2)</f>
        <v>29703.559000000001</v>
      </c>
      <c r="BJ488" s="8">
        <f>_xlfn.IFNA(VLOOKUP(Granger_Inventory[[#This Row],[quality]],Lookups!$H$2:$J$14,3,FALSE),0)</f>
        <v>34195</v>
      </c>
      <c r="BK488" s="8">
        <f>_xlfn.IFNA(VLOOKUP(Granger_Inventory[[#This Row],[condition]],Lookups!$H$17:$J$24,3,FALSE),0)</f>
        <v>33736</v>
      </c>
      <c r="BL488" s="8">
        <f>Granger_Inventory[[#This Row],[Age]]*Lookups!$B$16</f>
        <v>-10988.5483</v>
      </c>
      <c r="BM488" s="8">
        <f>Granger_Inventory[[#This Row],[living_area]]*Lookups!$B$17</f>
        <v>64581.992639999997</v>
      </c>
      <c r="BN488" s="8">
        <f>(Granger_Inventory[[#This Row],[att_gar]]+Granger_Inventory[[#This Row],[blt_gar]])*Lookups!$B$18</f>
        <v>0</v>
      </c>
      <c r="BO488" s="8">
        <f>Granger_Inventory[[#This Row],[Patio]]*Lookups!$B$19</f>
        <v>0</v>
      </c>
      <c r="BP488" s="8">
        <f>SUM(Granger_Inventory[[#This Row],[Intercept]:[Patio_Value]])*Granger_Inventory[[#This Row],[res_pct]]</f>
        <v>151228.00334</v>
      </c>
      <c r="BQ488" s="8">
        <f>Granger_Inventory[[#This Row],[land_value]]</f>
        <v>44185.343337262602</v>
      </c>
      <c r="BR488" s="4">
        <f>_xlfn.IFNA(VLOOKUP(Granger_Inventory[[#This Row],[quality]],Lookups!$A$25:$C$35,3,FALSE),1)</f>
        <v>0.98258795897788032</v>
      </c>
      <c r="BS488" s="4">
        <f>_xlfn.IFNA(VLOOKUP(Granger_Inventory[[#This Row],[condition]],Lookups!$A$38:$C$45,3,FALSE),1)</f>
        <v>0.92294678898076177</v>
      </c>
      <c r="BT488" s="4">
        <f>IF(Granger_Inventory[[#This Row],[decade]]="",1,_xlfn.IFNA(VLOOKUP(Granger_Inventory[[#This Row],[decade]],Lookups!$G$28:$I$42,3,FALSE),1))</f>
        <v>0.86581421791274704</v>
      </c>
      <c r="BU488" s="4">
        <f>_xlfn.IFNA(VLOOKUP(Granger_Inventory[[#This Row],[living_area_range]],Lookups!$A$48:$C$57,3,FALSE),1)</f>
        <v>0.81272404900450645</v>
      </c>
      <c r="BV488" s="4">
        <f>AVERAGE(Granger_Inventory[[#This Row],[qual_adj]:[living_range_adj]])</f>
        <v>0.89601825371897381</v>
      </c>
      <c r="BW488" s="8">
        <f>(Granger_Inventory[[#This Row],[sum_land]]-IF(Granger_Inventory[[#This Row],[no_utilities]]=1,12000,0))/IF(Granger_Inventory[[#This Row],[unbuildable]]=1,2,1)</f>
        <v>44185.343337262602</v>
      </c>
      <c r="BX488" s="8">
        <f>Granger_Inventory[[#This Row],[pre_res]]*Granger_Inventory[[#This Row],[overall_adj]]</f>
        <v>135503.05146611395</v>
      </c>
      <c r="BY488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488">
        <f>ROUND(Granger_Inventory[[#This Row],[detatched_value]]*Lookups!$I$45,-2)</f>
        <v>0</v>
      </c>
      <c r="CA488">
        <f>IF(ROUND(Granger_Inventory[[#This Row],[adj_res]]*Lookups!$I$45,-2)&lt;Granger_Inventory[[#This Row],[min_res]],Granger_Inventory[[#This Row],[min_res]],ROUND(Granger_Inventory[[#This Row],[adj_res]]*Lookups!$I$45,-2))</f>
        <v>128700</v>
      </c>
      <c r="CB488">
        <f>Granger_Inventory[[#This Row],[final_det]]+Granger_Inventory[[#This Row],[final_res]]</f>
        <v>128700</v>
      </c>
      <c r="CC488">
        <f>Granger_Inventory[[#This Row],[final_land]]+Granger_Inventory[[#This Row],[final_imp]]+Granger_Inventory[[#This Row],[crop_value]]</f>
        <v>170700</v>
      </c>
      <c r="CE488" t="str">
        <f t="shared" si="7"/>
        <v>update valuation set market_land =42000, market_bldg=128700, market_total =170700, market_mdno =402, market_date ='9/10/2023' where link_id = (select link_id from parcel where parcel_year = '2024' and parcel_id = '21102121456');</v>
      </c>
    </row>
    <row r="489" spans="1:83" x14ac:dyDescent="0.25">
      <c r="A489">
        <v>21102121457</v>
      </c>
      <c r="B489">
        <v>0.33</v>
      </c>
      <c r="C489">
        <v>14364</v>
      </c>
      <c r="D489" t="s">
        <v>137</v>
      </c>
      <c r="E489" t="s">
        <v>54</v>
      </c>
      <c r="F489" t="s">
        <v>54</v>
      </c>
      <c r="G489">
        <v>3</v>
      </c>
      <c r="H489" t="s">
        <v>55</v>
      </c>
      <c r="I489">
        <v>156300</v>
      </c>
      <c r="J489">
        <v>31000</v>
      </c>
      <c r="K489">
        <v>0.33</v>
      </c>
      <c r="L489">
        <f>IF(Granger_Inventory[[#This Row],[parcel_acres]]-Granger_Inventory[[#This Row],[non_valued_acres]] =0,0,LN(Granger_Inventory[[#This Row],[parcel_acres]]-Granger_Inventory[[#This Row],[non_valued_acres]]))</f>
        <v>-1.1086626245216111</v>
      </c>
      <c r="M489">
        <v>0</v>
      </c>
      <c r="N489">
        <v>0</v>
      </c>
      <c r="O489">
        <v>0</v>
      </c>
      <c r="P489">
        <v>47108.068500000001</v>
      </c>
      <c r="Q489">
        <v>122298</v>
      </c>
      <c r="R489">
        <f>(Granger_Inventory[[#This Row],[ln_acres]]*Granger_Inventory[[#This Row],[coeff]])+Granger_Inventory[[#This Row],[const]]</f>
        <v>70071.045140646165</v>
      </c>
      <c r="S489" t="s">
        <v>56</v>
      </c>
      <c r="T489">
        <v>1</v>
      </c>
      <c r="U489" t="s">
        <v>71</v>
      </c>
      <c r="V489" t="s">
        <v>77</v>
      </c>
      <c r="W489">
        <v>0</v>
      </c>
      <c r="X489">
        <v>0</v>
      </c>
      <c r="Y489">
        <v>46</v>
      </c>
      <c r="Z489">
        <v>53</v>
      </c>
      <c r="AA489">
        <v>60</v>
      </c>
      <c r="AB489">
        <v>1500</v>
      </c>
      <c r="AC489">
        <v>1482</v>
      </c>
      <c r="AD489">
        <v>1482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6</v>
      </c>
      <c r="AQ489">
        <v>0</v>
      </c>
      <c r="AR489">
        <v>0</v>
      </c>
      <c r="AS489" t="s">
        <v>59</v>
      </c>
      <c r="AT489">
        <v>1</v>
      </c>
      <c r="AU489" t="s">
        <v>60</v>
      </c>
      <c r="AV489" t="s">
        <v>61</v>
      </c>
      <c r="AW489">
        <v>0</v>
      </c>
      <c r="AX489">
        <v>4</v>
      </c>
      <c r="AY489">
        <v>0</v>
      </c>
      <c r="AZ489">
        <v>0</v>
      </c>
      <c r="BA489">
        <v>100</v>
      </c>
      <c r="BB489">
        <v>100</v>
      </c>
      <c r="BC489">
        <v>100</v>
      </c>
      <c r="BD489">
        <v>100</v>
      </c>
      <c r="BE489">
        <v>1</v>
      </c>
      <c r="BF489">
        <v>15000</v>
      </c>
      <c r="BG489">
        <v>1000</v>
      </c>
      <c r="BH489" s="8">
        <f>Granger_Inventory[[#This Row],[land_extract]]*Lookups!$B$3</f>
        <v>41743.479778473251</v>
      </c>
      <c r="BI489" s="8">
        <f>IF(Granger_Inventory[[#This Row],[bldg_style]]="",0,Lookups!$B$2)</f>
        <v>29703.559000000001</v>
      </c>
      <c r="BJ489" s="8">
        <f>_xlfn.IFNA(VLOOKUP(Granger_Inventory[[#This Row],[quality]],Lookups!$H$2:$J$14,3,FALSE),0)</f>
        <v>34195</v>
      </c>
      <c r="BK489" s="8">
        <f>_xlfn.IFNA(VLOOKUP(Granger_Inventory[[#This Row],[condition]],Lookups!$H$17:$J$24,3,FALSE),0)</f>
        <v>33736</v>
      </c>
      <c r="BL489" s="8">
        <f>Granger_Inventory[[#This Row],[Age]]*Lookups!$B$16</f>
        <v>-10988.5483</v>
      </c>
      <c r="BM489" s="8">
        <f>Granger_Inventory[[#This Row],[living_area]]*Lookups!$B$17</f>
        <v>99698.451138000004</v>
      </c>
      <c r="BN489" s="8">
        <f>(Granger_Inventory[[#This Row],[att_gar]]+Granger_Inventory[[#This Row],[blt_gar]])*Lookups!$B$18</f>
        <v>0</v>
      </c>
      <c r="BO489" s="8">
        <f>Granger_Inventory[[#This Row],[Patio]]*Lookups!$B$19</f>
        <v>0</v>
      </c>
      <c r="BP489" s="8">
        <f>SUM(Granger_Inventory[[#This Row],[Intercept]:[Patio_Value]])*Granger_Inventory[[#This Row],[res_pct]]</f>
        <v>186344.46183800002</v>
      </c>
      <c r="BQ489" s="8">
        <f>Granger_Inventory[[#This Row],[land_value]]</f>
        <v>41743.479778473251</v>
      </c>
      <c r="BR489" s="4">
        <f>_xlfn.IFNA(VLOOKUP(Granger_Inventory[[#This Row],[quality]],Lookups!$A$25:$C$35,3,FALSE),1)</f>
        <v>0.98258795897788032</v>
      </c>
      <c r="BS489" s="4">
        <f>_xlfn.IFNA(VLOOKUP(Granger_Inventory[[#This Row],[condition]],Lookups!$A$38:$C$45,3,FALSE),1)</f>
        <v>0.92294678898076177</v>
      </c>
      <c r="BT489" s="4">
        <f>IF(Granger_Inventory[[#This Row],[decade]]="",1,_xlfn.IFNA(VLOOKUP(Granger_Inventory[[#This Row],[decade]],Lookups!$G$28:$I$42,3,FALSE),1))</f>
        <v>0.86581421791274704</v>
      </c>
      <c r="BU489" s="4">
        <f>_xlfn.IFNA(VLOOKUP(Granger_Inventory[[#This Row],[living_area_range]],Lookups!$A$48:$C$57,3,FALSE),1)</f>
        <v>0.97960506760539345</v>
      </c>
      <c r="BV489" s="4">
        <f>AVERAGE(Granger_Inventory[[#This Row],[qual_adj]:[living_range_adj]])</f>
        <v>0.93773850836919559</v>
      </c>
      <c r="BW489" s="8">
        <f>(Granger_Inventory[[#This Row],[sum_land]]-IF(Granger_Inventory[[#This Row],[no_utilities]]=1,12000,0))/IF(Granger_Inventory[[#This Row],[unbuildable]]=1,2,1)</f>
        <v>41743.479778473251</v>
      </c>
      <c r="BX489" s="8">
        <f>Granger_Inventory[[#This Row],[pre_res]]*Granger_Inventory[[#This Row],[overall_adj]]</f>
        <v>174742.37768682663</v>
      </c>
      <c r="BY489">
        <f>IF(ROUND(Granger_Inventory[[#This Row],[adj_land]]*Lookups!$I$45,-2)&lt;Granger_Inventory[[#This Row],[min_land]],Granger_Inventory[[#This Row],[min_land]],ROUND(Granger_Inventory[[#This Row],[adj_land]]*Lookups!$I$45,-2))</f>
        <v>39700</v>
      </c>
      <c r="BZ489">
        <f>ROUND(Granger_Inventory[[#This Row],[detatched_value]]*Lookups!$I$45,-2)</f>
        <v>0</v>
      </c>
      <c r="CA489">
        <f>IF(ROUND(Granger_Inventory[[#This Row],[adj_res]]*Lookups!$I$45,-2)&lt;Granger_Inventory[[#This Row],[min_res]],Granger_Inventory[[#This Row],[min_res]],ROUND(Granger_Inventory[[#This Row],[adj_res]]*Lookups!$I$45,-2))</f>
        <v>166000</v>
      </c>
      <c r="CB489">
        <f>Granger_Inventory[[#This Row],[final_det]]+Granger_Inventory[[#This Row],[final_res]]</f>
        <v>166000</v>
      </c>
      <c r="CC489">
        <f>Granger_Inventory[[#This Row],[final_land]]+Granger_Inventory[[#This Row],[final_imp]]+Granger_Inventory[[#This Row],[crop_value]]</f>
        <v>205700</v>
      </c>
      <c r="CE489" t="str">
        <f t="shared" si="7"/>
        <v>update valuation set market_land =39700, market_bldg=166000, market_total =205700, market_mdno =402, market_date ='9/10/2023' where link_id = (select link_id from parcel where parcel_year = '2024' and parcel_id = '21102121457');</v>
      </c>
    </row>
    <row r="490" spans="1:83" x14ac:dyDescent="0.25">
      <c r="A490">
        <v>21102121458</v>
      </c>
      <c r="B490">
        <v>0.32</v>
      </c>
      <c r="C490">
        <v>13881</v>
      </c>
      <c r="D490" t="s">
        <v>137</v>
      </c>
      <c r="E490" t="s">
        <v>54</v>
      </c>
      <c r="F490" t="s">
        <v>54</v>
      </c>
      <c r="G490">
        <v>3</v>
      </c>
      <c r="H490" t="s">
        <v>55</v>
      </c>
      <c r="I490">
        <v>180200</v>
      </c>
      <c r="J490">
        <v>30800</v>
      </c>
      <c r="K490">
        <v>0.32</v>
      </c>
      <c r="L490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490">
        <v>0</v>
      </c>
      <c r="N490">
        <v>0</v>
      </c>
      <c r="O490">
        <v>0</v>
      </c>
      <c r="P490">
        <v>47108.068500000001</v>
      </c>
      <c r="Q490">
        <v>122298</v>
      </c>
      <c r="R490">
        <f>(Granger_Inventory[[#This Row],[ln_acres]]*Granger_Inventory[[#This Row],[coeff]])+Granger_Inventory[[#This Row],[const]]</f>
        <v>68621.451736314106</v>
      </c>
      <c r="S490" t="s">
        <v>56</v>
      </c>
      <c r="T490">
        <v>1</v>
      </c>
      <c r="U490" t="s">
        <v>71</v>
      </c>
      <c r="V490" t="s">
        <v>77</v>
      </c>
      <c r="W490">
        <v>0</v>
      </c>
      <c r="X490">
        <v>0</v>
      </c>
      <c r="Y490">
        <v>46</v>
      </c>
      <c r="Z490">
        <v>53</v>
      </c>
      <c r="AA490">
        <v>60</v>
      </c>
      <c r="AB490">
        <v>2000</v>
      </c>
      <c r="AC490">
        <v>1847</v>
      </c>
      <c r="AD490">
        <v>1847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5</v>
      </c>
      <c r="AQ490">
        <v>0</v>
      </c>
      <c r="AR490">
        <v>0</v>
      </c>
      <c r="AS490" t="s">
        <v>59</v>
      </c>
      <c r="AT490">
        <v>1</v>
      </c>
      <c r="AU490" t="s">
        <v>60</v>
      </c>
      <c r="AV490" t="s">
        <v>61</v>
      </c>
      <c r="AW490">
        <v>0</v>
      </c>
      <c r="AX490">
        <v>4</v>
      </c>
      <c r="AY490">
        <v>0</v>
      </c>
      <c r="AZ490">
        <v>0</v>
      </c>
      <c r="BA490">
        <v>100</v>
      </c>
      <c r="BB490">
        <v>100</v>
      </c>
      <c r="BC490">
        <v>100</v>
      </c>
      <c r="BD490">
        <v>100</v>
      </c>
      <c r="BE490">
        <v>1</v>
      </c>
      <c r="BF490">
        <v>15000</v>
      </c>
      <c r="BG490">
        <v>1000</v>
      </c>
      <c r="BH490" s="8">
        <f>Granger_Inventory[[#This Row],[land_extract]]*Lookups!$B$3</f>
        <v>40879.912340035793</v>
      </c>
      <c r="BI490" s="8">
        <f>IF(Granger_Inventory[[#This Row],[bldg_style]]="",0,Lookups!$B$2)</f>
        <v>29703.559000000001</v>
      </c>
      <c r="BJ490" s="8">
        <f>_xlfn.IFNA(VLOOKUP(Granger_Inventory[[#This Row],[quality]],Lookups!$H$2:$J$14,3,FALSE),0)</f>
        <v>34195</v>
      </c>
      <c r="BK490" s="8">
        <f>_xlfn.IFNA(VLOOKUP(Granger_Inventory[[#This Row],[condition]],Lookups!$H$17:$J$24,3,FALSE),0)</f>
        <v>33736</v>
      </c>
      <c r="BL490" s="8">
        <f>Granger_Inventory[[#This Row],[Age]]*Lookups!$B$16</f>
        <v>-10988.5483</v>
      </c>
      <c r="BM490" s="8">
        <f>Granger_Inventory[[#This Row],[living_area]]*Lookups!$B$17</f>
        <v>124253.06292299999</v>
      </c>
      <c r="BN490" s="8">
        <f>(Granger_Inventory[[#This Row],[att_gar]]+Granger_Inventory[[#This Row],[blt_gar]])*Lookups!$B$18</f>
        <v>0</v>
      </c>
      <c r="BO490" s="8">
        <f>Granger_Inventory[[#This Row],[Patio]]*Lookups!$B$19</f>
        <v>0</v>
      </c>
      <c r="BP490" s="8">
        <f>SUM(Granger_Inventory[[#This Row],[Intercept]:[Patio_Value]])*Granger_Inventory[[#This Row],[res_pct]]</f>
        <v>210899.073623</v>
      </c>
      <c r="BQ490" s="8">
        <f>Granger_Inventory[[#This Row],[land_value]]</f>
        <v>40879.912340035793</v>
      </c>
      <c r="BR490" s="4">
        <f>_xlfn.IFNA(VLOOKUP(Granger_Inventory[[#This Row],[quality]],Lookups!$A$25:$C$35,3,FALSE),1)</f>
        <v>0.98258795897788032</v>
      </c>
      <c r="BS490" s="4">
        <f>_xlfn.IFNA(VLOOKUP(Granger_Inventory[[#This Row],[condition]],Lookups!$A$38:$C$45,3,FALSE),1)</f>
        <v>0.92294678898076177</v>
      </c>
      <c r="BT490" s="4">
        <f>IF(Granger_Inventory[[#This Row],[decade]]="",1,_xlfn.IFNA(VLOOKUP(Granger_Inventory[[#This Row],[decade]],Lookups!$G$28:$I$42,3,FALSE),1))</f>
        <v>0.86581421791274704</v>
      </c>
      <c r="BU490" s="4">
        <f>_xlfn.IFNA(VLOOKUP(Granger_Inventory[[#This Row],[living_area_range]],Lookups!$A$48:$C$57,3,FALSE),1)</f>
        <v>0.97860968051050168</v>
      </c>
      <c r="BV490" s="4">
        <f>AVERAGE(Granger_Inventory[[#This Row],[qual_adj]:[living_range_adj]])</f>
        <v>0.93748966159547265</v>
      </c>
      <c r="BW490" s="8">
        <f>(Granger_Inventory[[#This Row],[sum_land]]-IF(Granger_Inventory[[#This Row],[no_utilities]]=1,12000,0))/IF(Granger_Inventory[[#This Row],[unbuildable]]=1,2,1)</f>
        <v>40879.912340035793</v>
      </c>
      <c r="BX490" s="8">
        <f>Granger_Inventory[[#This Row],[pre_res]]*Granger_Inventory[[#This Row],[overall_adj]]</f>
        <v>197715.70116162495</v>
      </c>
      <c r="BY490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490">
        <f>ROUND(Granger_Inventory[[#This Row],[detatched_value]]*Lookups!$I$45,-2)</f>
        <v>0</v>
      </c>
      <c r="CA490">
        <f>IF(ROUND(Granger_Inventory[[#This Row],[adj_res]]*Lookups!$I$45,-2)&lt;Granger_Inventory[[#This Row],[min_res]],Granger_Inventory[[#This Row],[min_res]],ROUND(Granger_Inventory[[#This Row],[adj_res]]*Lookups!$I$45,-2))</f>
        <v>187800</v>
      </c>
      <c r="CB490">
        <f>Granger_Inventory[[#This Row],[final_det]]+Granger_Inventory[[#This Row],[final_res]]</f>
        <v>187800</v>
      </c>
      <c r="CC490">
        <f>Granger_Inventory[[#This Row],[final_land]]+Granger_Inventory[[#This Row],[final_imp]]+Granger_Inventory[[#This Row],[crop_value]]</f>
        <v>226600</v>
      </c>
      <c r="CE490" t="str">
        <f t="shared" si="7"/>
        <v>update valuation set market_land =38800, market_bldg=187800, market_total =226600, market_mdno =402, market_date ='9/10/2023' where link_id = (select link_id from parcel where parcel_year = '2024' and parcel_id = '21102121458');</v>
      </c>
    </row>
    <row r="491" spans="1:83" x14ac:dyDescent="0.25">
      <c r="A491">
        <v>21102121459</v>
      </c>
      <c r="B491">
        <v>0.37</v>
      </c>
      <c r="C491">
        <v>16262</v>
      </c>
      <c r="D491" t="s">
        <v>137</v>
      </c>
      <c r="E491" t="s">
        <v>54</v>
      </c>
      <c r="F491" t="s">
        <v>54</v>
      </c>
      <c r="G491">
        <v>3</v>
      </c>
      <c r="H491" t="s">
        <v>55</v>
      </c>
      <c r="I491">
        <v>143900</v>
      </c>
      <c r="J491">
        <v>31700</v>
      </c>
      <c r="K491">
        <v>0.37</v>
      </c>
      <c r="L491">
        <f>IF(Granger_Inventory[[#This Row],[parcel_acres]]-Granger_Inventory[[#This Row],[non_valued_acres]] =0,0,LN(Granger_Inventory[[#This Row],[parcel_acres]]-Granger_Inventory[[#This Row],[non_valued_acres]]))</f>
        <v>-0.9942522733438669</v>
      </c>
      <c r="M491">
        <v>0</v>
      </c>
      <c r="N491">
        <v>0</v>
      </c>
      <c r="O491">
        <v>0</v>
      </c>
      <c r="P491">
        <v>47108.068500000001</v>
      </c>
      <c r="Q491">
        <v>122298</v>
      </c>
      <c r="R491">
        <f>(Granger_Inventory[[#This Row],[ln_acres]]*Granger_Inventory[[#This Row],[coeff]])+Granger_Inventory[[#This Row],[const]]</f>
        <v>75460.695801036403</v>
      </c>
      <c r="S491" t="s">
        <v>56</v>
      </c>
      <c r="T491">
        <v>1</v>
      </c>
      <c r="U491" t="s">
        <v>71</v>
      </c>
      <c r="V491" t="s">
        <v>79</v>
      </c>
      <c r="W491">
        <v>0</v>
      </c>
      <c r="X491">
        <v>0</v>
      </c>
      <c r="Y491">
        <v>46</v>
      </c>
      <c r="Z491">
        <v>53</v>
      </c>
      <c r="AA491">
        <v>60</v>
      </c>
      <c r="AB491">
        <v>1500</v>
      </c>
      <c r="AC491">
        <v>1482</v>
      </c>
      <c r="AD491">
        <v>1482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7</v>
      </c>
      <c r="AQ491">
        <v>1</v>
      </c>
      <c r="AR491">
        <v>0</v>
      </c>
      <c r="AS491" t="s">
        <v>59</v>
      </c>
      <c r="AT491">
        <v>1</v>
      </c>
      <c r="AU491" t="s">
        <v>60</v>
      </c>
      <c r="AV491" t="s">
        <v>61</v>
      </c>
      <c r="AW491">
        <v>0</v>
      </c>
      <c r="AX491">
        <v>4</v>
      </c>
      <c r="AY491">
        <v>0</v>
      </c>
      <c r="AZ491">
        <v>0</v>
      </c>
      <c r="BA491">
        <v>100</v>
      </c>
      <c r="BB491">
        <v>100</v>
      </c>
      <c r="BC491">
        <v>100</v>
      </c>
      <c r="BD491">
        <v>100</v>
      </c>
      <c r="BE491">
        <v>1</v>
      </c>
      <c r="BF491">
        <v>15000</v>
      </c>
      <c r="BG491">
        <v>1000</v>
      </c>
      <c r="BH491" s="8">
        <f>Granger_Inventory[[#This Row],[land_extract]]*Lookups!$B$3</f>
        <v>44954.260678108061</v>
      </c>
      <c r="BI491" s="8">
        <f>IF(Granger_Inventory[[#This Row],[bldg_style]]="",0,Lookups!$B$2)</f>
        <v>29703.559000000001</v>
      </c>
      <c r="BJ491" s="8">
        <f>_xlfn.IFNA(VLOOKUP(Granger_Inventory[[#This Row],[quality]],Lookups!$H$2:$J$14,3,FALSE),0)</f>
        <v>34195</v>
      </c>
      <c r="BK491" s="8">
        <f>_xlfn.IFNA(VLOOKUP(Granger_Inventory[[#This Row],[condition]],Lookups!$H$17:$J$24,3,FALSE),0)</f>
        <v>86727</v>
      </c>
      <c r="BL491" s="8">
        <f>Granger_Inventory[[#This Row],[Age]]*Lookups!$B$16</f>
        <v>-10988.5483</v>
      </c>
      <c r="BM491" s="8">
        <f>Granger_Inventory[[#This Row],[living_area]]*Lookups!$B$17</f>
        <v>99698.451138000004</v>
      </c>
      <c r="BN491" s="8">
        <f>(Granger_Inventory[[#This Row],[att_gar]]+Granger_Inventory[[#This Row],[blt_gar]])*Lookups!$B$18</f>
        <v>0</v>
      </c>
      <c r="BO491" s="8">
        <f>Granger_Inventory[[#This Row],[Patio]]*Lookups!$B$19</f>
        <v>0</v>
      </c>
      <c r="BP491" s="8">
        <f>SUM(Granger_Inventory[[#This Row],[Intercept]:[Patio_Value]])*Granger_Inventory[[#This Row],[res_pct]]</f>
        <v>239335.46183800002</v>
      </c>
      <c r="BQ491" s="8">
        <f>Granger_Inventory[[#This Row],[land_value]]</f>
        <v>44954.260678108061</v>
      </c>
      <c r="BR491" s="4">
        <f>_xlfn.IFNA(VLOOKUP(Granger_Inventory[[#This Row],[quality]],Lookups!$A$25:$C$35,3,FALSE),1)</f>
        <v>0.98258795897788032</v>
      </c>
      <c r="BS491" s="4">
        <f>_xlfn.IFNA(VLOOKUP(Granger_Inventory[[#This Row],[condition]],Lookups!$A$38:$C$45,3,FALSE),1)</f>
        <v>0.85322907131620684</v>
      </c>
      <c r="BT491" s="4">
        <f>IF(Granger_Inventory[[#This Row],[decade]]="",1,_xlfn.IFNA(VLOOKUP(Granger_Inventory[[#This Row],[decade]],Lookups!$G$28:$I$42,3,FALSE),1))</f>
        <v>0.86581421791274704</v>
      </c>
      <c r="BU491" s="4">
        <f>_xlfn.IFNA(VLOOKUP(Granger_Inventory[[#This Row],[living_area_range]],Lookups!$A$48:$C$57,3,FALSE),1)</f>
        <v>0.97960506760539345</v>
      </c>
      <c r="BV491" s="4">
        <f>AVERAGE(Granger_Inventory[[#This Row],[qual_adj]:[living_range_adj]])</f>
        <v>0.92030907895305702</v>
      </c>
      <c r="BW491" s="8">
        <f>(Granger_Inventory[[#This Row],[sum_land]]-IF(Granger_Inventory[[#This Row],[no_utilities]]=1,12000,0))/IF(Granger_Inventory[[#This Row],[unbuildable]]=1,2,1)</f>
        <v>44954.260678108061</v>
      </c>
      <c r="BX491" s="8">
        <f>Granger_Inventory[[#This Row],[pre_res]]*Granger_Inventory[[#This Row],[overall_adj]]</f>
        <v>220262.59844493432</v>
      </c>
      <c r="BY491">
        <f>IF(ROUND(Granger_Inventory[[#This Row],[adj_land]]*Lookups!$I$45,-2)&lt;Granger_Inventory[[#This Row],[min_land]],Granger_Inventory[[#This Row],[min_land]],ROUND(Granger_Inventory[[#This Row],[adj_land]]*Lookups!$I$45,-2))</f>
        <v>42700</v>
      </c>
      <c r="BZ491">
        <f>ROUND(Granger_Inventory[[#This Row],[detatched_value]]*Lookups!$I$45,-2)</f>
        <v>0</v>
      </c>
      <c r="CA491">
        <f>IF(ROUND(Granger_Inventory[[#This Row],[adj_res]]*Lookups!$I$45,-2)&lt;Granger_Inventory[[#This Row],[min_res]],Granger_Inventory[[#This Row],[min_res]],ROUND(Granger_Inventory[[#This Row],[adj_res]]*Lookups!$I$45,-2))</f>
        <v>209200</v>
      </c>
      <c r="CB491">
        <f>Granger_Inventory[[#This Row],[final_det]]+Granger_Inventory[[#This Row],[final_res]]</f>
        <v>209200</v>
      </c>
      <c r="CC491">
        <f>Granger_Inventory[[#This Row],[final_land]]+Granger_Inventory[[#This Row],[final_imp]]+Granger_Inventory[[#This Row],[crop_value]]</f>
        <v>251900</v>
      </c>
      <c r="CE491" t="str">
        <f t="shared" si="7"/>
        <v>update valuation set market_land =42700, market_bldg=209200, market_total =251900, market_mdno =402, market_date ='9/10/2023' where link_id = (select link_id from parcel where parcel_year = '2024' and parcel_id = '21102121459');</v>
      </c>
    </row>
    <row r="492" spans="1:83" x14ac:dyDescent="0.25">
      <c r="A492">
        <v>21102121460</v>
      </c>
      <c r="B492">
        <v>0.36</v>
      </c>
      <c r="C492">
        <v>15796</v>
      </c>
      <c r="D492" t="s">
        <v>137</v>
      </c>
      <c r="E492" t="s">
        <v>54</v>
      </c>
      <c r="F492" t="s">
        <v>54</v>
      </c>
      <c r="G492">
        <v>3</v>
      </c>
      <c r="H492" t="s">
        <v>55</v>
      </c>
      <c r="I492">
        <v>209300</v>
      </c>
      <c r="J492">
        <v>31500</v>
      </c>
      <c r="K492">
        <v>0.36</v>
      </c>
      <c r="L492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492">
        <v>0</v>
      </c>
      <c r="N492">
        <v>0</v>
      </c>
      <c r="O492">
        <v>0</v>
      </c>
      <c r="P492">
        <v>47108.068500000001</v>
      </c>
      <c r="Q492">
        <v>122298</v>
      </c>
      <c r="R492">
        <f>(Granger_Inventory[[#This Row],[ln_acres]]*Granger_Inventory[[#This Row],[coeff]])+Granger_Inventory[[#This Row],[const]]</f>
        <v>74169.983048152964</v>
      </c>
      <c r="S492" t="s">
        <v>56</v>
      </c>
      <c r="T492">
        <v>1</v>
      </c>
      <c r="U492" t="s">
        <v>71</v>
      </c>
      <c r="V492" t="s">
        <v>72</v>
      </c>
      <c r="W492">
        <v>0</v>
      </c>
      <c r="X492">
        <v>0</v>
      </c>
      <c r="Y492">
        <v>46</v>
      </c>
      <c r="Z492">
        <v>53</v>
      </c>
      <c r="AA492">
        <v>60</v>
      </c>
      <c r="AB492">
        <v>1500</v>
      </c>
      <c r="AC492">
        <v>1482</v>
      </c>
      <c r="AD492">
        <v>1482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240</v>
      </c>
      <c r="AN492">
        <v>0</v>
      </c>
      <c r="AO492">
        <v>0</v>
      </c>
      <c r="AP492">
        <v>8</v>
      </c>
      <c r="AQ492">
        <v>1</v>
      </c>
      <c r="AR492">
        <v>0</v>
      </c>
      <c r="AS492" t="s">
        <v>59</v>
      </c>
      <c r="AT492">
        <v>1</v>
      </c>
      <c r="AU492" t="s">
        <v>60</v>
      </c>
      <c r="AV492" t="s">
        <v>61</v>
      </c>
      <c r="AW492">
        <v>1</v>
      </c>
      <c r="AX492">
        <v>4</v>
      </c>
      <c r="AY492">
        <v>0</v>
      </c>
      <c r="AZ492">
        <v>0</v>
      </c>
      <c r="BA492">
        <v>100</v>
      </c>
      <c r="BB492">
        <v>100</v>
      </c>
      <c r="BC492">
        <v>100</v>
      </c>
      <c r="BD492">
        <v>100</v>
      </c>
      <c r="BE492">
        <v>1</v>
      </c>
      <c r="BF492">
        <v>15000</v>
      </c>
      <c r="BG492">
        <v>1000</v>
      </c>
      <c r="BH492" s="8">
        <f>Granger_Inventory[[#This Row],[land_extract]]*Lookups!$B$3</f>
        <v>44185.343337262602</v>
      </c>
      <c r="BI492" s="8">
        <f>IF(Granger_Inventory[[#This Row],[bldg_style]]="",0,Lookups!$B$2)</f>
        <v>29703.559000000001</v>
      </c>
      <c r="BJ492" s="8">
        <f>_xlfn.IFNA(VLOOKUP(Granger_Inventory[[#This Row],[quality]],Lookups!$H$2:$J$14,3,FALSE),0)</f>
        <v>34195</v>
      </c>
      <c r="BK492" s="8">
        <f>_xlfn.IFNA(VLOOKUP(Granger_Inventory[[#This Row],[condition]],Lookups!$H$17:$J$24,3,FALSE),0)</f>
        <v>94106</v>
      </c>
      <c r="BL492" s="8">
        <f>Granger_Inventory[[#This Row],[Age]]*Lookups!$B$16</f>
        <v>-10988.5483</v>
      </c>
      <c r="BM492" s="8">
        <f>Granger_Inventory[[#This Row],[living_area]]*Lookups!$B$17</f>
        <v>99698.451138000004</v>
      </c>
      <c r="BN492" s="8">
        <f>(Granger_Inventory[[#This Row],[att_gar]]+Granger_Inventory[[#This Row],[blt_gar]])*Lookups!$B$18</f>
        <v>0</v>
      </c>
      <c r="BO492" s="8">
        <f>Granger_Inventory[[#This Row],[Patio]]*Lookups!$B$19</f>
        <v>13035.623039999999</v>
      </c>
      <c r="BP492" s="8">
        <f>SUM(Granger_Inventory[[#This Row],[Intercept]:[Patio_Value]])*Granger_Inventory[[#This Row],[res_pct]]</f>
        <v>259750.08487800002</v>
      </c>
      <c r="BQ492" s="8">
        <f>Granger_Inventory[[#This Row],[land_value]]</f>
        <v>44185.343337262602</v>
      </c>
      <c r="BR492" s="4">
        <f>_xlfn.IFNA(VLOOKUP(Granger_Inventory[[#This Row],[quality]],Lookups!$A$25:$C$35,3,FALSE),1)</f>
        <v>0.98258795897788032</v>
      </c>
      <c r="BS492" s="4">
        <f>_xlfn.IFNA(VLOOKUP(Granger_Inventory[[#This Row],[condition]],Lookups!$A$38:$C$45,3,FALSE),1)</f>
        <v>0.98658583151544277</v>
      </c>
      <c r="BT492" s="4">
        <f>IF(Granger_Inventory[[#This Row],[decade]]="",1,_xlfn.IFNA(VLOOKUP(Granger_Inventory[[#This Row],[decade]],Lookups!$G$28:$I$42,3,FALSE),1))</f>
        <v>0.86581421791274704</v>
      </c>
      <c r="BU492" s="4">
        <f>_xlfn.IFNA(VLOOKUP(Granger_Inventory[[#This Row],[living_area_range]],Lookups!$A$48:$C$57,3,FALSE),1)</f>
        <v>0.97960506760539345</v>
      </c>
      <c r="BV492" s="4">
        <f>AVERAGE(Granger_Inventory[[#This Row],[qual_adj]:[living_range_adj]])</f>
        <v>0.95364826900286592</v>
      </c>
      <c r="BW492" s="8">
        <f>(Granger_Inventory[[#This Row],[sum_land]]-IF(Granger_Inventory[[#This Row],[no_utilities]]=1,12000,0))/IF(Granger_Inventory[[#This Row],[unbuildable]]=1,2,1)</f>
        <v>44185.343337262602</v>
      </c>
      <c r="BX492" s="8">
        <f>Granger_Inventory[[#This Row],[pre_res]]*Granger_Inventory[[#This Row],[overall_adj]]</f>
        <v>247710.21881725223</v>
      </c>
      <c r="BY492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492">
        <f>ROUND(Granger_Inventory[[#This Row],[detatched_value]]*Lookups!$I$45,-2)</f>
        <v>0</v>
      </c>
      <c r="CA492">
        <f>IF(ROUND(Granger_Inventory[[#This Row],[adj_res]]*Lookups!$I$45,-2)&lt;Granger_Inventory[[#This Row],[min_res]],Granger_Inventory[[#This Row],[min_res]],ROUND(Granger_Inventory[[#This Row],[adj_res]]*Lookups!$I$45,-2))</f>
        <v>235300</v>
      </c>
      <c r="CB492">
        <f>Granger_Inventory[[#This Row],[final_det]]+Granger_Inventory[[#This Row],[final_res]]</f>
        <v>235300</v>
      </c>
      <c r="CC492">
        <f>Granger_Inventory[[#This Row],[final_land]]+Granger_Inventory[[#This Row],[final_imp]]+Granger_Inventory[[#This Row],[crop_value]]</f>
        <v>277300</v>
      </c>
      <c r="CE492" t="str">
        <f t="shared" si="7"/>
        <v>update valuation set market_land =42000, market_bldg=235300, market_total =277300, market_mdno =402, market_date ='9/10/2023' where link_id = (select link_id from parcel where parcel_year = '2024' and parcel_id = '21102121460');</v>
      </c>
    </row>
    <row r="493" spans="1:83" x14ac:dyDescent="0.25">
      <c r="A493">
        <v>21102121461</v>
      </c>
      <c r="B493">
        <v>0.38</v>
      </c>
      <c r="C493" t="s">
        <v>137</v>
      </c>
      <c r="D493" t="s">
        <v>137</v>
      </c>
      <c r="E493" t="s">
        <v>54</v>
      </c>
      <c r="F493" t="s">
        <v>54</v>
      </c>
      <c r="G493">
        <v>3</v>
      </c>
      <c r="H493" t="s">
        <v>55</v>
      </c>
      <c r="I493">
        <v>182900</v>
      </c>
      <c r="J493">
        <v>31800</v>
      </c>
      <c r="K493">
        <v>0.38</v>
      </c>
      <c r="L493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493">
        <v>0</v>
      </c>
      <c r="N493">
        <v>0</v>
      </c>
      <c r="O493">
        <v>0</v>
      </c>
      <c r="P493">
        <v>47108.068500000001</v>
      </c>
      <c r="Q493">
        <v>122298</v>
      </c>
      <c r="R493">
        <f>(Granger_Inventory[[#This Row],[ln_acres]]*Granger_Inventory[[#This Row],[coeff]])+Granger_Inventory[[#This Row],[const]]</f>
        <v>76716.985411357775</v>
      </c>
      <c r="S493" t="s">
        <v>56</v>
      </c>
      <c r="T493">
        <v>1</v>
      </c>
      <c r="U493" t="s">
        <v>71</v>
      </c>
      <c r="V493" t="s">
        <v>72</v>
      </c>
      <c r="W493">
        <v>0</v>
      </c>
      <c r="X493">
        <v>0</v>
      </c>
      <c r="Y493">
        <v>46</v>
      </c>
      <c r="Z493">
        <v>53</v>
      </c>
      <c r="AA493">
        <v>60</v>
      </c>
      <c r="AB493">
        <v>1500</v>
      </c>
      <c r="AC493">
        <v>1196</v>
      </c>
      <c r="AD493">
        <v>1196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286</v>
      </c>
      <c r="AL493">
        <v>0</v>
      </c>
      <c r="AM493">
        <v>0</v>
      </c>
      <c r="AN493">
        <v>45</v>
      </c>
      <c r="AO493">
        <v>0</v>
      </c>
      <c r="AP493">
        <v>5</v>
      </c>
      <c r="AQ493">
        <v>0</v>
      </c>
      <c r="AR493">
        <v>0</v>
      </c>
      <c r="AS493" t="s">
        <v>59</v>
      </c>
      <c r="AT493">
        <v>1</v>
      </c>
      <c r="AU493" t="s">
        <v>60</v>
      </c>
      <c r="AV493" t="s">
        <v>61</v>
      </c>
      <c r="AW493">
        <v>0</v>
      </c>
      <c r="AX493">
        <v>4</v>
      </c>
      <c r="AY493">
        <v>0</v>
      </c>
      <c r="AZ493">
        <v>0</v>
      </c>
      <c r="BA493">
        <v>100</v>
      </c>
      <c r="BB493">
        <v>100</v>
      </c>
      <c r="BC493">
        <v>100</v>
      </c>
      <c r="BD493">
        <v>100</v>
      </c>
      <c r="BE493">
        <v>1</v>
      </c>
      <c r="BF493">
        <v>15000</v>
      </c>
      <c r="BG493">
        <v>1000</v>
      </c>
      <c r="BH493" s="8">
        <f>Granger_Inventory[[#This Row],[land_extract]]*Lookups!$B$3</f>
        <v>45702.671092696495</v>
      </c>
      <c r="BI493" s="8">
        <f>IF(Granger_Inventory[[#This Row],[bldg_style]]="",0,Lookups!$B$2)</f>
        <v>29703.559000000001</v>
      </c>
      <c r="BJ493" s="8">
        <f>_xlfn.IFNA(VLOOKUP(Granger_Inventory[[#This Row],[quality]],Lookups!$H$2:$J$14,3,FALSE),0)</f>
        <v>34195</v>
      </c>
      <c r="BK493" s="8">
        <f>_xlfn.IFNA(VLOOKUP(Granger_Inventory[[#This Row],[condition]],Lookups!$H$17:$J$24,3,FALSE),0)</f>
        <v>94106</v>
      </c>
      <c r="BL493" s="8">
        <f>Granger_Inventory[[#This Row],[Age]]*Lookups!$B$16</f>
        <v>-10988.5483</v>
      </c>
      <c r="BM493" s="8">
        <f>Granger_Inventory[[#This Row],[living_area]]*Lookups!$B$17</f>
        <v>80458.399164000002</v>
      </c>
      <c r="BN493" s="8">
        <f>(Granger_Inventory[[#This Row],[att_gar]]+Granger_Inventory[[#This Row],[blt_gar]])*Lookups!$B$18</f>
        <v>0</v>
      </c>
      <c r="BO493" s="8">
        <f>Granger_Inventory[[#This Row],[Patio]]*Lookups!$B$19</f>
        <v>0</v>
      </c>
      <c r="BP493" s="8">
        <f>SUM(Granger_Inventory[[#This Row],[Intercept]:[Patio_Value]])*Granger_Inventory[[#This Row],[res_pct]]</f>
        <v>227474.40986400002</v>
      </c>
      <c r="BQ493" s="8">
        <f>Granger_Inventory[[#This Row],[land_value]]</f>
        <v>45702.671092696495</v>
      </c>
      <c r="BR493" s="4">
        <f>_xlfn.IFNA(VLOOKUP(Granger_Inventory[[#This Row],[quality]],Lookups!$A$25:$C$35,3,FALSE),1)</f>
        <v>0.98258795897788032</v>
      </c>
      <c r="BS493" s="4">
        <f>_xlfn.IFNA(VLOOKUP(Granger_Inventory[[#This Row],[condition]],Lookups!$A$38:$C$45,3,FALSE),1)</f>
        <v>0.98658583151544277</v>
      </c>
      <c r="BT493" s="4">
        <f>IF(Granger_Inventory[[#This Row],[decade]]="",1,_xlfn.IFNA(VLOOKUP(Granger_Inventory[[#This Row],[decade]],Lookups!$G$28:$I$42,3,FALSE),1))</f>
        <v>0.86581421791274704</v>
      </c>
      <c r="BU493" s="4">
        <f>_xlfn.IFNA(VLOOKUP(Granger_Inventory[[#This Row],[living_area_range]],Lookups!$A$48:$C$57,3,FALSE),1)</f>
        <v>0.97960506760539345</v>
      </c>
      <c r="BV493" s="4">
        <f>AVERAGE(Granger_Inventory[[#This Row],[qual_adj]:[living_range_adj]])</f>
        <v>0.95364826900286592</v>
      </c>
      <c r="BW493" s="8">
        <f>(Granger_Inventory[[#This Row],[sum_land]]-IF(Granger_Inventory[[#This Row],[no_utilities]]=1,12000,0))/IF(Granger_Inventory[[#This Row],[unbuildable]]=1,2,1)</f>
        <v>45702.671092696495</v>
      </c>
      <c r="BX493" s="8">
        <f>Granger_Inventory[[#This Row],[pre_res]]*Granger_Inventory[[#This Row],[overall_adj]]</f>
        <v>216930.57720925208</v>
      </c>
      <c r="BY493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493">
        <f>ROUND(Granger_Inventory[[#This Row],[detatched_value]]*Lookups!$I$45,-2)</f>
        <v>0</v>
      </c>
      <c r="CA493">
        <f>IF(ROUND(Granger_Inventory[[#This Row],[adj_res]]*Lookups!$I$45,-2)&lt;Granger_Inventory[[#This Row],[min_res]],Granger_Inventory[[#This Row],[min_res]],ROUND(Granger_Inventory[[#This Row],[adj_res]]*Lookups!$I$45,-2))</f>
        <v>206100</v>
      </c>
      <c r="CB493">
        <f>Granger_Inventory[[#This Row],[final_det]]+Granger_Inventory[[#This Row],[final_res]]</f>
        <v>206100</v>
      </c>
      <c r="CC493">
        <f>Granger_Inventory[[#This Row],[final_land]]+Granger_Inventory[[#This Row],[final_imp]]+Granger_Inventory[[#This Row],[crop_value]]</f>
        <v>249500</v>
      </c>
      <c r="CE493" t="str">
        <f t="shared" si="7"/>
        <v>update valuation set market_land =43400, market_bldg=206100, market_total =249500, market_mdno =402, market_date ='9/10/2023' where link_id = (select link_id from parcel where parcel_year = '2024' and parcel_id = '21102121461');</v>
      </c>
    </row>
    <row r="494" spans="1:83" x14ac:dyDescent="0.25">
      <c r="A494">
        <v>21102121462</v>
      </c>
      <c r="B494">
        <v>0.35</v>
      </c>
      <c r="C494">
        <v>15176</v>
      </c>
      <c r="D494" t="s">
        <v>137</v>
      </c>
      <c r="E494" t="s">
        <v>54</v>
      </c>
      <c r="F494" t="s">
        <v>54</v>
      </c>
      <c r="G494">
        <v>3</v>
      </c>
      <c r="H494" t="s">
        <v>55</v>
      </c>
      <c r="I494">
        <v>202900</v>
      </c>
      <c r="J494">
        <v>31300</v>
      </c>
      <c r="K494">
        <v>0.35</v>
      </c>
      <c r="L494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494">
        <v>0</v>
      </c>
      <c r="N494">
        <v>0</v>
      </c>
      <c r="O494">
        <v>0</v>
      </c>
      <c r="P494">
        <v>47108.068500000001</v>
      </c>
      <c r="Q494">
        <v>122298</v>
      </c>
      <c r="R494">
        <f>(Granger_Inventory[[#This Row],[ln_acres]]*Granger_Inventory[[#This Row],[coeff]])+Granger_Inventory[[#This Row],[const]]</f>
        <v>72842.907446300756</v>
      </c>
      <c r="S494" t="s">
        <v>56</v>
      </c>
      <c r="T494">
        <v>1</v>
      </c>
      <c r="U494" t="s">
        <v>71</v>
      </c>
      <c r="V494" t="s">
        <v>72</v>
      </c>
      <c r="W494">
        <v>0</v>
      </c>
      <c r="X494">
        <v>0</v>
      </c>
      <c r="Y494">
        <v>46</v>
      </c>
      <c r="Z494">
        <v>55</v>
      </c>
      <c r="AA494">
        <v>60</v>
      </c>
      <c r="AB494">
        <v>1500</v>
      </c>
      <c r="AC494">
        <v>1482</v>
      </c>
      <c r="AD494">
        <v>1482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5</v>
      </c>
      <c r="AQ494">
        <v>0</v>
      </c>
      <c r="AR494">
        <v>0</v>
      </c>
      <c r="AS494" t="s">
        <v>59</v>
      </c>
      <c r="AT494">
        <v>1</v>
      </c>
      <c r="AU494" t="s">
        <v>60</v>
      </c>
      <c r="AV494" t="s">
        <v>61</v>
      </c>
      <c r="AW494">
        <v>0</v>
      </c>
      <c r="AX494">
        <v>4</v>
      </c>
      <c r="AY494">
        <v>0</v>
      </c>
      <c r="AZ494">
        <v>0</v>
      </c>
      <c r="BA494">
        <v>100</v>
      </c>
      <c r="BB494">
        <v>100</v>
      </c>
      <c r="BC494">
        <v>100</v>
      </c>
      <c r="BD494">
        <v>100</v>
      </c>
      <c r="BE494">
        <v>1</v>
      </c>
      <c r="BF494">
        <v>15000</v>
      </c>
      <c r="BG494">
        <v>1000</v>
      </c>
      <c r="BH494" s="8">
        <f>Granger_Inventory[[#This Row],[land_extract]]*Lookups!$B$3</f>
        <v>43394.763527310708</v>
      </c>
      <c r="BI494" s="8">
        <f>IF(Granger_Inventory[[#This Row],[bldg_style]]="",0,Lookups!$B$2)</f>
        <v>29703.559000000001</v>
      </c>
      <c r="BJ494" s="8">
        <f>_xlfn.IFNA(VLOOKUP(Granger_Inventory[[#This Row],[quality]],Lookups!$H$2:$J$14,3,FALSE),0)</f>
        <v>34195</v>
      </c>
      <c r="BK494" s="8">
        <f>_xlfn.IFNA(VLOOKUP(Granger_Inventory[[#This Row],[condition]],Lookups!$H$17:$J$24,3,FALSE),0)</f>
        <v>94106</v>
      </c>
      <c r="BL494" s="8">
        <f>Granger_Inventory[[#This Row],[Age]]*Lookups!$B$16</f>
        <v>-11403.210499999999</v>
      </c>
      <c r="BM494" s="8">
        <f>Granger_Inventory[[#This Row],[living_area]]*Lookups!$B$17</f>
        <v>99698.451138000004</v>
      </c>
      <c r="BN494" s="8">
        <f>(Granger_Inventory[[#This Row],[att_gar]]+Granger_Inventory[[#This Row],[blt_gar]])*Lookups!$B$18</f>
        <v>0</v>
      </c>
      <c r="BO494" s="8">
        <f>Granger_Inventory[[#This Row],[Patio]]*Lookups!$B$19</f>
        <v>0</v>
      </c>
      <c r="BP494" s="8">
        <f>SUM(Granger_Inventory[[#This Row],[Intercept]:[Patio_Value]])*Granger_Inventory[[#This Row],[res_pct]]</f>
        <v>246299.79963800003</v>
      </c>
      <c r="BQ494" s="8">
        <f>Granger_Inventory[[#This Row],[land_value]]</f>
        <v>43394.763527310708</v>
      </c>
      <c r="BR494" s="4">
        <f>_xlfn.IFNA(VLOOKUP(Granger_Inventory[[#This Row],[quality]],Lookups!$A$25:$C$35,3,FALSE),1)</f>
        <v>0.98258795897788032</v>
      </c>
      <c r="BS494" s="4">
        <f>_xlfn.IFNA(VLOOKUP(Granger_Inventory[[#This Row],[condition]],Lookups!$A$38:$C$45,3,FALSE),1)</f>
        <v>0.98658583151544277</v>
      </c>
      <c r="BT494" s="4">
        <f>IF(Granger_Inventory[[#This Row],[decade]]="",1,_xlfn.IFNA(VLOOKUP(Granger_Inventory[[#This Row],[decade]],Lookups!$G$28:$I$42,3,FALSE),1))</f>
        <v>0.86581421791274704</v>
      </c>
      <c r="BU494" s="4">
        <f>_xlfn.IFNA(VLOOKUP(Granger_Inventory[[#This Row],[living_area_range]],Lookups!$A$48:$C$57,3,FALSE),1)</f>
        <v>0.97960506760539345</v>
      </c>
      <c r="BV494" s="4">
        <f>AVERAGE(Granger_Inventory[[#This Row],[qual_adj]:[living_range_adj]])</f>
        <v>0.95364826900286592</v>
      </c>
      <c r="BW494" s="8">
        <f>(Granger_Inventory[[#This Row],[sum_land]]-IF(Granger_Inventory[[#This Row],[no_utilities]]=1,12000,0))/IF(Granger_Inventory[[#This Row],[unbuildable]]=1,2,1)</f>
        <v>43394.763527310708</v>
      </c>
      <c r="BX494" s="8">
        <f>Granger_Inventory[[#This Row],[pre_res]]*Granger_Inventory[[#This Row],[overall_adj]]</f>
        <v>234883.37758053144</v>
      </c>
      <c r="BY494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494">
        <f>ROUND(Granger_Inventory[[#This Row],[detatched_value]]*Lookups!$I$45,-2)</f>
        <v>0</v>
      </c>
      <c r="CA494">
        <f>IF(ROUND(Granger_Inventory[[#This Row],[adj_res]]*Lookups!$I$45,-2)&lt;Granger_Inventory[[#This Row],[min_res]],Granger_Inventory[[#This Row],[min_res]],ROUND(Granger_Inventory[[#This Row],[adj_res]]*Lookups!$I$45,-2))</f>
        <v>223100</v>
      </c>
      <c r="CB494">
        <f>Granger_Inventory[[#This Row],[final_det]]+Granger_Inventory[[#This Row],[final_res]]</f>
        <v>223100</v>
      </c>
      <c r="CC494">
        <f>Granger_Inventory[[#This Row],[final_land]]+Granger_Inventory[[#This Row],[final_imp]]+Granger_Inventory[[#This Row],[crop_value]]</f>
        <v>264300</v>
      </c>
      <c r="CE494" t="str">
        <f t="shared" si="7"/>
        <v>update valuation set market_land =41200, market_bldg=223100, market_total =264300, market_mdno =402, market_date ='9/10/2023' where link_id = (select link_id from parcel where parcel_year = '2024' and parcel_id = '21102121462');</v>
      </c>
    </row>
    <row r="495" spans="1:83" x14ac:dyDescent="0.25">
      <c r="A495">
        <v>21102121463</v>
      </c>
      <c r="B495">
        <v>0.32</v>
      </c>
      <c r="C495" t="s">
        <v>137</v>
      </c>
      <c r="D495" t="s">
        <v>137</v>
      </c>
      <c r="E495" t="s">
        <v>54</v>
      </c>
      <c r="F495" t="s">
        <v>54</v>
      </c>
      <c r="G495">
        <v>3</v>
      </c>
      <c r="H495" t="s">
        <v>55</v>
      </c>
      <c r="I495">
        <v>146100</v>
      </c>
      <c r="J495">
        <v>30800</v>
      </c>
      <c r="K495">
        <v>0.32</v>
      </c>
      <c r="L495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495">
        <v>0</v>
      </c>
      <c r="N495">
        <v>0</v>
      </c>
      <c r="O495">
        <v>0</v>
      </c>
      <c r="P495">
        <v>47108.068500000001</v>
      </c>
      <c r="Q495">
        <v>122298</v>
      </c>
      <c r="R495">
        <f>(Granger_Inventory[[#This Row],[ln_acres]]*Granger_Inventory[[#This Row],[coeff]])+Granger_Inventory[[#This Row],[const]]</f>
        <v>68621.451736314106</v>
      </c>
      <c r="S495" t="s">
        <v>56</v>
      </c>
      <c r="T495">
        <v>1</v>
      </c>
      <c r="U495" t="s">
        <v>64</v>
      </c>
      <c r="V495" t="s">
        <v>77</v>
      </c>
      <c r="W495">
        <v>0</v>
      </c>
      <c r="X495">
        <v>0</v>
      </c>
      <c r="Y495">
        <v>43</v>
      </c>
      <c r="Z495">
        <v>44</v>
      </c>
      <c r="AA495">
        <v>50</v>
      </c>
      <c r="AB495">
        <v>1500</v>
      </c>
      <c r="AC495">
        <v>1452</v>
      </c>
      <c r="AD495">
        <v>1452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180</v>
      </c>
      <c r="AN495">
        <v>66</v>
      </c>
      <c r="AO495">
        <v>0</v>
      </c>
      <c r="AP495">
        <v>7</v>
      </c>
      <c r="AQ495">
        <v>0</v>
      </c>
      <c r="AR495">
        <v>0</v>
      </c>
      <c r="AS495" t="s">
        <v>59</v>
      </c>
      <c r="AT495">
        <v>1</v>
      </c>
      <c r="AU495" t="s">
        <v>68</v>
      </c>
      <c r="AV495" t="s">
        <v>65</v>
      </c>
      <c r="AW495">
        <v>0</v>
      </c>
      <c r="AX495">
        <v>3</v>
      </c>
      <c r="AY495">
        <v>0</v>
      </c>
      <c r="AZ495">
        <v>0</v>
      </c>
      <c r="BA495">
        <v>100</v>
      </c>
      <c r="BB495">
        <v>100</v>
      </c>
      <c r="BC495">
        <v>100</v>
      </c>
      <c r="BD495">
        <v>100</v>
      </c>
      <c r="BE495">
        <v>1</v>
      </c>
      <c r="BF495">
        <v>15000</v>
      </c>
      <c r="BG495">
        <v>1000</v>
      </c>
      <c r="BH495" s="8">
        <f>Granger_Inventory[[#This Row],[land_extract]]*Lookups!$B$3</f>
        <v>40879.912340035793</v>
      </c>
      <c r="BI495" s="8">
        <f>IF(Granger_Inventory[[#This Row],[bldg_style]]="",0,Lookups!$B$2)</f>
        <v>29703.559000000001</v>
      </c>
      <c r="BJ495" s="8">
        <f>_xlfn.IFNA(VLOOKUP(Granger_Inventory[[#This Row],[quality]],Lookups!$H$2:$J$14,3,FALSE),0)</f>
        <v>36568</v>
      </c>
      <c r="BK495" s="8">
        <f>_xlfn.IFNA(VLOOKUP(Granger_Inventory[[#This Row],[condition]],Lookups!$H$17:$J$24,3,FALSE),0)</f>
        <v>33736</v>
      </c>
      <c r="BL495" s="8">
        <f>Granger_Inventory[[#This Row],[Age]]*Lookups!$B$16</f>
        <v>-9122.5684000000001</v>
      </c>
      <c r="BM495" s="8">
        <f>Granger_Inventory[[#This Row],[living_area]]*Lookups!$B$17</f>
        <v>97680.263867999995</v>
      </c>
      <c r="BN495" s="8">
        <f>(Granger_Inventory[[#This Row],[att_gar]]+Granger_Inventory[[#This Row],[blt_gar]])*Lookups!$B$18</f>
        <v>0</v>
      </c>
      <c r="BO495" s="8">
        <f>Granger_Inventory[[#This Row],[Patio]]*Lookups!$B$19</f>
        <v>9776.7172799999989</v>
      </c>
      <c r="BP495" s="8">
        <f>SUM(Granger_Inventory[[#This Row],[Intercept]:[Patio_Value]])*Granger_Inventory[[#This Row],[res_pct]]</f>
        <v>198341.97174800001</v>
      </c>
      <c r="BQ495" s="8">
        <f>Granger_Inventory[[#This Row],[land_value]]</f>
        <v>40879.912340035793</v>
      </c>
      <c r="BR495" s="4">
        <f>_xlfn.IFNA(VLOOKUP(Granger_Inventory[[#This Row],[quality]],Lookups!$A$25:$C$35,3,FALSE),1)</f>
        <v>0.99049976351917957</v>
      </c>
      <c r="BS495" s="4">
        <f>_xlfn.IFNA(VLOOKUP(Granger_Inventory[[#This Row],[condition]],Lookups!$A$38:$C$45,3,FALSE),1)</f>
        <v>0.92294678898076177</v>
      </c>
      <c r="BT495" s="4">
        <f>IF(Granger_Inventory[[#This Row],[decade]]="",1,_xlfn.IFNA(VLOOKUP(Granger_Inventory[[#This Row],[decade]],Lookups!$G$28:$I$42,3,FALSE),1))</f>
        <v>1.2441094871772171</v>
      </c>
      <c r="BU495" s="4">
        <f>_xlfn.IFNA(VLOOKUP(Granger_Inventory[[#This Row],[living_area_range]],Lookups!$A$48:$C$57,3,FALSE),1)</f>
        <v>0.97960506760539345</v>
      </c>
      <c r="BV495" s="4">
        <f>AVERAGE(Granger_Inventory[[#This Row],[qual_adj]:[living_range_adj]])</f>
        <v>1.0342902768206379</v>
      </c>
      <c r="BW495" s="8">
        <f>(Granger_Inventory[[#This Row],[sum_land]]-IF(Granger_Inventory[[#This Row],[no_utilities]]=1,12000,0))/IF(Granger_Inventory[[#This Row],[unbuildable]]=1,2,1)</f>
        <v>40879.912340035793</v>
      </c>
      <c r="BX495" s="8">
        <f>Granger_Inventory[[#This Row],[pre_res]]*Granger_Inventory[[#This Row],[overall_adj]]</f>
        <v>205143.17286439007</v>
      </c>
      <c r="BY495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495">
        <f>ROUND(Granger_Inventory[[#This Row],[detatched_value]]*Lookups!$I$45,-2)</f>
        <v>0</v>
      </c>
      <c r="CA495">
        <f>IF(ROUND(Granger_Inventory[[#This Row],[adj_res]]*Lookups!$I$45,-2)&lt;Granger_Inventory[[#This Row],[min_res]],Granger_Inventory[[#This Row],[min_res]],ROUND(Granger_Inventory[[#This Row],[adj_res]]*Lookups!$I$45,-2))</f>
        <v>194900</v>
      </c>
      <c r="CB495">
        <f>Granger_Inventory[[#This Row],[final_det]]+Granger_Inventory[[#This Row],[final_res]]</f>
        <v>194900</v>
      </c>
      <c r="CC495">
        <f>Granger_Inventory[[#This Row],[final_land]]+Granger_Inventory[[#This Row],[final_imp]]+Granger_Inventory[[#This Row],[crop_value]]</f>
        <v>233700</v>
      </c>
      <c r="CE495" t="str">
        <f t="shared" si="7"/>
        <v>update valuation set market_land =38800, market_bldg=194900, market_total =233700, market_mdno =402, market_date ='9/10/2023' where link_id = (select link_id from parcel where parcel_year = '2024' and parcel_id = '21102121463');</v>
      </c>
    </row>
    <row r="496" spans="1:83" x14ac:dyDescent="0.25">
      <c r="A496">
        <v>21102121464</v>
      </c>
      <c r="B496">
        <v>0.48</v>
      </c>
      <c r="C496">
        <v>20833</v>
      </c>
      <c r="D496" t="s">
        <v>137</v>
      </c>
      <c r="E496" t="s">
        <v>54</v>
      </c>
      <c r="F496" t="s">
        <v>54</v>
      </c>
      <c r="G496">
        <v>3</v>
      </c>
      <c r="H496" t="s">
        <v>55</v>
      </c>
      <c r="I496">
        <v>224300</v>
      </c>
      <c r="J496">
        <v>33200</v>
      </c>
      <c r="K496">
        <v>0.48</v>
      </c>
      <c r="L496">
        <f>IF(Granger_Inventory[[#This Row],[parcel_acres]]-Granger_Inventory[[#This Row],[non_valued_acres]] =0,0,LN(Granger_Inventory[[#This Row],[parcel_acres]]-Granger_Inventory[[#This Row],[non_valued_acres]]))</f>
        <v>-0.73396917508020043</v>
      </c>
      <c r="M496">
        <v>0</v>
      </c>
      <c r="N496">
        <v>0</v>
      </c>
      <c r="O496">
        <v>0</v>
      </c>
      <c r="P496">
        <v>47108.068500000001</v>
      </c>
      <c r="Q496">
        <v>122298</v>
      </c>
      <c r="R496">
        <f>(Granger_Inventory[[#This Row],[ln_acres]]*Granger_Inventory[[#This Row],[coeff]])+Granger_Inventory[[#This Row],[const]]</f>
        <v>87722.129823433424</v>
      </c>
      <c r="S496" t="s">
        <v>56</v>
      </c>
      <c r="T496">
        <v>1</v>
      </c>
      <c r="U496" t="s">
        <v>64</v>
      </c>
      <c r="V496" t="s">
        <v>72</v>
      </c>
      <c r="W496">
        <v>0</v>
      </c>
      <c r="X496">
        <v>0</v>
      </c>
      <c r="Y496">
        <v>45</v>
      </c>
      <c r="Z496">
        <v>52</v>
      </c>
      <c r="AA496">
        <v>60</v>
      </c>
      <c r="AB496">
        <v>2000</v>
      </c>
      <c r="AC496">
        <v>1542</v>
      </c>
      <c r="AD496">
        <v>1542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120</v>
      </c>
      <c r="AO496">
        <v>0</v>
      </c>
      <c r="AP496">
        <v>8</v>
      </c>
      <c r="AQ496">
        <v>0</v>
      </c>
      <c r="AR496">
        <v>0</v>
      </c>
      <c r="AS496" t="s">
        <v>59</v>
      </c>
      <c r="AT496">
        <v>1</v>
      </c>
      <c r="AU496" t="s">
        <v>68</v>
      </c>
      <c r="AV496" t="s">
        <v>65</v>
      </c>
      <c r="AW496">
        <v>0</v>
      </c>
      <c r="AX496">
        <v>4</v>
      </c>
      <c r="AY496">
        <v>0</v>
      </c>
      <c r="AZ496">
        <v>0</v>
      </c>
      <c r="BA496">
        <v>100</v>
      </c>
      <c r="BB496">
        <v>100</v>
      </c>
      <c r="BC496">
        <v>100</v>
      </c>
      <c r="BD496">
        <v>100</v>
      </c>
      <c r="BE496">
        <v>1</v>
      </c>
      <c r="BF496">
        <v>15000</v>
      </c>
      <c r="BG496">
        <v>1000</v>
      </c>
      <c r="BH496" s="8">
        <f>Granger_Inventory[[#This Row],[land_extract]]*Lookups!$B$3</f>
        <v>52258.774577417855</v>
      </c>
      <c r="BI496" s="8">
        <f>IF(Granger_Inventory[[#This Row],[bldg_style]]="",0,Lookups!$B$2)</f>
        <v>29703.559000000001</v>
      </c>
      <c r="BJ496" s="8">
        <f>_xlfn.IFNA(VLOOKUP(Granger_Inventory[[#This Row],[quality]],Lookups!$H$2:$J$14,3,FALSE),0)</f>
        <v>36568</v>
      </c>
      <c r="BK496" s="8">
        <f>_xlfn.IFNA(VLOOKUP(Granger_Inventory[[#This Row],[condition]],Lookups!$H$17:$J$24,3,FALSE),0)</f>
        <v>94106</v>
      </c>
      <c r="BL496" s="8">
        <f>Granger_Inventory[[#This Row],[Age]]*Lookups!$B$16</f>
        <v>-10781.217199999999</v>
      </c>
      <c r="BM496" s="8">
        <f>Granger_Inventory[[#This Row],[living_area]]*Lookups!$B$17</f>
        <v>103734.82567799999</v>
      </c>
      <c r="BN496" s="8">
        <f>(Granger_Inventory[[#This Row],[att_gar]]+Granger_Inventory[[#This Row],[blt_gar]])*Lookups!$B$18</f>
        <v>0</v>
      </c>
      <c r="BO496" s="8">
        <f>Granger_Inventory[[#This Row],[Patio]]*Lookups!$B$19</f>
        <v>0</v>
      </c>
      <c r="BP496" s="8">
        <f>SUM(Granger_Inventory[[#This Row],[Intercept]:[Patio_Value]])*Granger_Inventory[[#This Row],[res_pct]]</f>
        <v>253331.16747799999</v>
      </c>
      <c r="BQ496" s="8">
        <f>Granger_Inventory[[#This Row],[land_value]]</f>
        <v>52258.774577417855</v>
      </c>
      <c r="BR496" s="4">
        <f>_xlfn.IFNA(VLOOKUP(Granger_Inventory[[#This Row],[quality]],Lookups!$A$25:$C$35,3,FALSE),1)</f>
        <v>0.99049976351917957</v>
      </c>
      <c r="BS496" s="4">
        <f>_xlfn.IFNA(VLOOKUP(Granger_Inventory[[#This Row],[condition]],Lookups!$A$38:$C$45,3,FALSE),1)</f>
        <v>0.98658583151544277</v>
      </c>
      <c r="BT496" s="4">
        <f>IF(Granger_Inventory[[#This Row],[decade]]="",1,_xlfn.IFNA(VLOOKUP(Granger_Inventory[[#This Row],[decade]],Lookups!$G$28:$I$42,3,FALSE),1))</f>
        <v>0.86581421791274704</v>
      </c>
      <c r="BU496" s="4">
        <f>_xlfn.IFNA(VLOOKUP(Granger_Inventory[[#This Row],[living_area_range]],Lookups!$A$48:$C$57,3,FALSE),1)</f>
        <v>0.97860968051050168</v>
      </c>
      <c r="BV496" s="4">
        <f>AVERAGE(Granger_Inventory[[#This Row],[qual_adj]:[living_range_adj]])</f>
        <v>0.95537737336446771</v>
      </c>
      <c r="BW496" s="8">
        <f>(Granger_Inventory[[#This Row],[sum_land]]-IF(Granger_Inventory[[#This Row],[no_utilities]]=1,12000,0))/IF(Granger_Inventory[[#This Row],[unbuildable]]=1,2,1)</f>
        <v>52258.774577417855</v>
      </c>
      <c r="BX496" s="8">
        <f>Granger_Inventory[[#This Row],[pre_res]]*Granger_Inventory[[#This Row],[overall_adj]]</f>
        <v>242026.86537648569</v>
      </c>
      <c r="BY496">
        <f>IF(ROUND(Granger_Inventory[[#This Row],[adj_land]]*Lookups!$I$45,-2)&lt;Granger_Inventory[[#This Row],[min_land]],Granger_Inventory[[#This Row],[min_land]],ROUND(Granger_Inventory[[#This Row],[adj_land]]*Lookups!$I$45,-2))</f>
        <v>49600</v>
      </c>
      <c r="BZ496">
        <f>ROUND(Granger_Inventory[[#This Row],[detatched_value]]*Lookups!$I$45,-2)</f>
        <v>0</v>
      </c>
      <c r="CA496">
        <f>IF(ROUND(Granger_Inventory[[#This Row],[adj_res]]*Lookups!$I$45,-2)&lt;Granger_Inventory[[#This Row],[min_res]],Granger_Inventory[[#This Row],[min_res]],ROUND(Granger_Inventory[[#This Row],[adj_res]]*Lookups!$I$45,-2))</f>
        <v>229900</v>
      </c>
      <c r="CB496">
        <f>Granger_Inventory[[#This Row],[final_det]]+Granger_Inventory[[#This Row],[final_res]]</f>
        <v>229900</v>
      </c>
      <c r="CC496">
        <f>Granger_Inventory[[#This Row],[final_land]]+Granger_Inventory[[#This Row],[final_imp]]+Granger_Inventory[[#This Row],[crop_value]]</f>
        <v>279500</v>
      </c>
      <c r="CE496" t="str">
        <f t="shared" si="7"/>
        <v>update valuation set market_land =49600, market_bldg=229900, market_total =279500, market_mdno =402, market_date ='9/10/2023' where link_id = (select link_id from parcel where parcel_year = '2024' and parcel_id = '21102121464');</v>
      </c>
    </row>
    <row r="497" spans="1:83" x14ac:dyDescent="0.25">
      <c r="A497">
        <v>21102121466</v>
      </c>
      <c r="B497">
        <v>0.22</v>
      </c>
      <c r="C497">
        <v>9651</v>
      </c>
      <c r="D497" t="s">
        <v>137</v>
      </c>
      <c r="E497" t="s">
        <v>54</v>
      </c>
      <c r="F497" t="s">
        <v>54</v>
      </c>
      <c r="G497">
        <v>3</v>
      </c>
      <c r="H497" t="s">
        <v>55</v>
      </c>
      <c r="I497">
        <v>151500</v>
      </c>
      <c r="J497">
        <v>28600</v>
      </c>
      <c r="K497">
        <v>0.22</v>
      </c>
      <c r="L497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97">
        <v>0</v>
      </c>
      <c r="N497">
        <v>0</v>
      </c>
      <c r="O497">
        <v>0</v>
      </c>
      <c r="P497">
        <v>47108.068500000001</v>
      </c>
      <c r="Q497">
        <v>122298</v>
      </c>
      <c r="R497">
        <f>(Granger_Inventory[[#This Row],[ln_acres]]*Granger_Inventory[[#This Row],[coeff]])+Granger_Inventory[[#This Row],[const]]</f>
        <v>50970.367053526847</v>
      </c>
      <c r="S497" t="s">
        <v>56</v>
      </c>
      <c r="T497">
        <v>1</v>
      </c>
      <c r="U497" t="s">
        <v>64</v>
      </c>
      <c r="V497" t="s">
        <v>77</v>
      </c>
      <c r="W497">
        <v>0</v>
      </c>
      <c r="X497">
        <v>0</v>
      </c>
      <c r="Y497">
        <v>44</v>
      </c>
      <c r="Z497">
        <v>46</v>
      </c>
      <c r="AA497">
        <v>50</v>
      </c>
      <c r="AB497">
        <v>1500</v>
      </c>
      <c r="AC497">
        <v>1300</v>
      </c>
      <c r="AD497">
        <v>1300</v>
      </c>
      <c r="AE497">
        <v>0</v>
      </c>
      <c r="AF497">
        <v>0</v>
      </c>
      <c r="AG497">
        <v>0</v>
      </c>
      <c r="AH497">
        <v>0</v>
      </c>
      <c r="AI497">
        <v>300</v>
      </c>
      <c r="AJ497">
        <v>0</v>
      </c>
      <c r="AK497">
        <v>0</v>
      </c>
      <c r="AL497">
        <v>0</v>
      </c>
      <c r="AM497">
        <v>240</v>
      </c>
      <c r="AN497">
        <v>0</v>
      </c>
      <c r="AO497">
        <v>0</v>
      </c>
      <c r="AP497">
        <v>5</v>
      </c>
      <c r="AQ497">
        <v>0</v>
      </c>
      <c r="AR497">
        <v>1</v>
      </c>
      <c r="AS497" t="s">
        <v>59</v>
      </c>
      <c r="AT497">
        <v>1</v>
      </c>
      <c r="AU497" t="s">
        <v>60</v>
      </c>
      <c r="AV497" t="s">
        <v>61</v>
      </c>
      <c r="AW497">
        <v>0</v>
      </c>
      <c r="AX497">
        <v>3</v>
      </c>
      <c r="AY497">
        <v>0</v>
      </c>
      <c r="AZ497">
        <v>0</v>
      </c>
      <c r="BA497">
        <v>100</v>
      </c>
      <c r="BB497">
        <v>100</v>
      </c>
      <c r="BC497">
        <v>100</v>
      </c>
      <c r="BD497">
        <v>100</v>
      </c>
      <c r="BE497">
        <v>1</v>
      </c>
      <c r="BF497">
        <v>15000</v>
      </c>
      <c r="BG497">
        <v>1000</v>
      </c>
      <c r="BH497" s="8">
        <f>Granger_Inventory[[#This Row],[land_extract]]*Lookups!$B$3</f>
        <v>30364.617541091193</v>
      </c>
      <c r="BI497" s="8">
        <f>IF(Granger_Inventory[[#This Row],[bldg_style]]="",0,Lookups!$B$2)</f>
        <v>29703.559000000001</v>
      </c>
      <c r="BJ497" s="8">
        <f>_xlfn.IFNA(VLOOKUP(Granger_Inventory[[#This Row],[quality]],Lookups!$H$2:$J$14,3,FALSE),0)</f>
        <v>36568</v>
      </c>
      <c r="BK497" s="8">
        <f>_xlfn.IFNA(VLOOKUP(Granger_Inventory[[#This Row],[condition]],Lookups!$H$17:$J$24,3,FALSE),0)</f>
        <v>33736</v>
      </c>
      <c r="BL497" s="8">
        <f>Granger_Inventory[[#This Row],[Age]]*Lookups!$B$16</f>
        <v>-9537.230599999999</v>
      </c>
      <c r="BM497" s="8">
        <f>Granger_Inventory[[#This Row],[living_area]]*Lookups!$B$17</f>
        <v>87454.781699999992</v>
      </c>
      <c r="BN497" s="8">
        <f>(Granger_Inventory[[#This Row],[att_gar]]+Granger_Inventory[[#This Row],[blt_gar]])*Lookups!$B$18</f>
        <v>14534.275799999999</v>
      </c>
      <c r="BO497" s="8">
        <f>Granger_Inventory[[#This Row],[Patio]]*Lookups!$B$19</f>
        <v>13035.623039999999</v>
      </c>
      <c r="BP497" s="8">
        <f>SUM(Granger_Inventory[[#This Row],[Intercept]:[Patio_Value]])*Granger_Inventory[[#This Row],[res_pct]]</f>
        <v>205495.00894</v>
      </c>
      <c r="BQ497" s="8">
        <f>Granger_Inventory[[#This Row],[land_value]]</f>
        <v>30364.617541091193</v>
      </c>
      <c r="BR497" s="4">
        <f>_xlfn.IFNA(VLOOKUP(Granger_Inventory[[#This Row],[quality]],Lookups!$A$25:$C$35,3,FALSE),1)</f>
        <v>0.99049976351917957</v>
      </c>
      <c r="BS497" s="4">
        <f>_xlfn.IFNA(VLOOKUP(Granger_Inventory[[#This Row],[condition]],Lookups!$A$38:$C$45,3,FALSE),1)</f>
        <v>0.92294678898076177</v>
      </c>
      <c r="BT497" s="4">
        <f>IF(Granger_Inventory[[#This Row],[decade]]="",1,_xlfn.IFNA(VLOOKUP(Granger_Inventory[[#This Row],[decade]],Lookups!$G$28:$I$42,3,FALSE),1))</f>
        <v>1.2441094871772171</v>
      </c>
      <c r="BU497" s="4">
        <f>_xlfn.IFNA(VLOOKUP(Granger_Inventory[[#This Row],[living_area_range]],Lookups!$A$48:$C$57,3,FALSE),1)</f>
        <v>0.97960506760539345</v>
      </c>
      <c r="BV497" s="4">
        <f>AVERAGE(Granger_Inventory[[#This Row],[qual_adj]:[living_range_adj]])</f>
        <v>1.0342902768206379</v>
      </c>
      <c r="BW497" s="8">
        <f>(Granger_Inventory[[#This Row],[sum_land]]-IF(Granger_Inventory[[#This Row],[no_utilities]]=1,12000,0))/IF(Granger_Inventory[[#This Row],[unbuildable]]=1,2,1)</f>
        <v>30364.617541091193</v>
      </c>
      <c r="BX497" s="8">
        <f>Granger_Inventory[[#This Row],[pre_res]]*Granger_Inventory[[#This Row],[overall_adj]]</f>
        <v>212541.48968181206</v>
      </c>
      <c r="BY497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97">
        <f>ROUND(Granger_Inventory[[#This Row],[detatched_value]]*Lookups!$I$45,-2)</f>
        <v>0</v>
      </c>
      <c r="CA497">
        <f>IF(ROUND(Granger_Inventory[[#This Row],[adj_res]]*Lookups!$I$45,-2)&lt;Granger_Inventory[[#This Row],[min_res]],Granger_Inventory[[#This Row],[min_res]],ROUND(Granger_Inventory[[#This Row],[adj_res]]*Lookups!$I$45,-2))</f>
        <v>201900</v>
      </c>
      <c r="CB497">
        <f>Granger_Inventory[[#This Row],[final_det]]+Granger_Inventory[[#This Row],[final_res]]</f>
        <v>201900</v>
      </c>
      <c r="CC497">
        <f>Granger_Inventory[[#This Row],[final_land]]+Granger_Inventory[[#This Row],[final_imp]]+Granger_Inventory[[#This Row],[crop_value]]</f>
        <v>230700</v>
      </c>
      <c r="CE497" t="str">
        <f t="shared" si="7"/>
        <v>update valuation set market_land =28800, market_bldg=201900, market_total =230700, market_mdno =402, market_date ='9/10/2023' where link_id = (select link_id from parcel where parcel_year = '2024' and parcel_id = '21102121466');</v>
      </c>
    </row>
    <row r="498" spans="1:83" x14ac:dyDescent="0.25">
      <c r="A498">
        <v>21102121467</v>
      </c>
      <c r="B498">
        <v>0.22</v>
      </c>
      <c r="C498">
        <v>9477</v>
      </c>
      <c r="D498" t="s">
        <v>137</v>
      </c>
      <c r="E498" t="s">
        <v>54</v>
      </c>
      <c r="F498" t="s">
        <v>54</v>
      </c>
      <c r="G498">
        <v>3</v>
      </c>
      <c r="H498" t="s">
        <v>55</v>
      </c>
      <c r="I498">
        <v>150800</v>
      </c>
      <c r="J498">
        <v>28600</v>
      </c>
      <c r="K498">
        <v>0.22</v>
      </c>
      <c r="L498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498">
        <v>0</v>
      </c>
      <c r="N498">
        <v>0</v>
      </c>
      <c r="O498">
        <v>0</v>
      </c>
      <c r="P498">
        <v>47108.068500000001</v>
      </c>
      <c r="Q498">
        <v>122298</v>
      </c>
      <c r="R498">
        <f>(Granger_Inventory[[#This Row],[ln_acres]]*Granger_Inventory[[#This Row],[coeff]])+Granger_Inventory[[#This Row],[const]]</f>
        <v>50970.367053526847</v>
      </c>
      <c r="S498" t="s">
        <v>69</v>
      </c>
      <c r="T498">
        <v>1</v>
      </c>
      <c r="U498" t="s">
        <v>71</v>
      </c>
      <c r="V498" t="s">
        <v>77</v>
      </c>
      <c r="W498">
        <v>0</v>
      </c>
      <c r="X498">
        <v>0</v>
      </c>
      <c r="Y498">
        <v>51</v>
      </c>
      <c r="Z498">
        <v>78</v>
      </c>
      <c r="AA498">
        <v>80</v>
      </c>
      <c r="AB498">
        <v>2000</v>
      </c>
      <c r="AC498">
        <v>1541</v>
      </c>
      <c r="AD498">
        <v>989</v>
      </c>
      <c r="AE498">
        <v>0</v>
      </c>
      <c r="AF498">
        <v>0</v>
      </c>
      <c r="AG498">
        <v>552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100</v>
      </c>
      <c r="AN498">
        <v>36</v>
      </c>
      <c r="AO498">
        <v>108</v>
      </c>
      <c r="AP498">
        <v>5</v>
      </c>
      <c r="AQ498">
        <v>0</v>
      </c>
      <c r="AR498">
        <v>0</v>
      </c>
      <c r="AS498" t="s">
        <v>59</v>
      </c>
      <c r="AT498">
        <v>1</v>
      </c>
      <c r="AU498" t="s">
        <v>60</v>
      </c>
      <c r="AV498" t="s">
        <v>61</v>
      </c>
      <c r="AW498">
        <v>0</v>
      </c>
      <c r="AX498">
        <v>3</v>
      </c>
      <c r="AY498">
        <v>0</v>
      </c>
      <c r="AZ498">
        <v>8100</v>
      </c>
      <c r="BA498">
        <v>100</v>
      </c>
      <c r="BB498">
        <v>100</v>
      </c>
      <c r="BC498">
        <v>100</v>
      </c>
      <c r="BD498">
        <v>100</v>
      </c>
      <c r="BE498">
        <v>1</v>
      </c>
      <c r="BF498">
        <v>15000</v>
      </c>
      <c r="BG498">
        <v>1000</v>
      </c>
      <c r="BH498" s="8">
        <f>Granger_Inventory[[#This Row],[land_extract]]*Lookups!$B$3</f>
        <v>30364.617541091193</v>
      </c>
      <c r="BI498" s="8">
        <f>IF(Granger_Inventory[[#This Row],[bldg_style]]="",0,Lookups!$B$2)</f>
        <v>29703.559000000001</v>
      </c>
      <c r="BJ498" s="8">
        <f>_xlfn.IFNA(VLOOKUP(Granger_Inventory[[#This Row],[quality]],Lookups!$H$2:$J$14,3,FALSE),0)</f>
        <v>34195</v>
      </c>
      <c r="BK498" s="8">
        <f>_xlfn.IFNA(VLOOKUP(Granger_Inventory[[#This Row],[condition]],Lookups!$H$17:$J$24,3,FALSE),0)</f>
        <v>33736</v>
      </c>
      <c r="BL498" s="8">
        <f>Granger_Inventory[[#This Row],[Age]]*Lookups!$B$16</f>
        <v>-16171.825799999999</v>
      </c>
      <c r="BM498" s="8">
        <f>Granger_Inventory[[#This Row],[living_area]]*Lookups!$B$17</f>
        <v>103667.552769</v>
      </c>
      <c r="BN498" s="8">
        <f>(Granger_Inventory[[#This Row],[att_gar]]+Granger_Inventory[[#This Row],[blt_gar]])*Lookups!$B$18</f>
        <v>0</v>
      </c>
      <c r="BO498" s="8">
        <f>Granger_Inventory[[#This Row],[Patio]]*Lookups!$B$19</f>
        <v>5431.5095999999994</v>
      </c>
      <c r="BP498" s="8">
        <f>SUM(Granger_Inventory[[#This Row],[Intercept]:[Patio_Value]])*Granger_Inventory[[#This Row],[res_pct]]</f>
        <v>190561.79556900001</v>
      </c>
      <c r="BQ498" s="8">
        <f>Granger_Inventory[[#This Row],[land_value]]</f>
        <v>30364.617541091193</v>
      </c>
      <c r="BR498" s="4">
        <f>_xlfn.IFNA(VLOOKUP(Granger_Inventory[[#This Row],[quality]],Lookups!$A$25:$C$35,3,FALSE),1)</f>
        <v>0.98258795897788032</v>
      </c>
      <c r="BS498" s="4">
        <f>_xlfn.IFNA(VLOOKUP(Granger_Inventory[[#This Row],[condition]],Lookups!$A$38:$C$45,3,FALSE),1)</f>
        <v>0.92294678898076177</v>
      </c>
      <c r="BT498" s="4">
        <f>IF(Granger_Inventory[[#This Row],[decade]]="",1,_xlfn.IFNA(VLOOKUP(Granger_Inventory[[#This Row],[decade]],Lookups!$G$28:$I$42,3,FALSE),1))</f>
        <v>0.76006056002554967</v>
      </c>
      <c r="BU498" s="4">
        <f>_xlfn.IFNA(VLOOKUP(Granger_Inventory[[#This Row],[living_area_range]],Lookups!$A$48:$C$57,3,FALSE),1)</f>
        <v>0.97860968051050168</v>
      </c>
      <c r="BV498" s="4">
        <f>AVERAGE(Granger_Inventory[[#This Row],[qual_adj]:[living_range_adj]])</f>
        <v>0.91105124712367336</v>
      </c>
      <c r="BW498" s="8">
        <f>(Granger_Inventory[[#This Row],[sum_land]]-IF(Granger_Inventory[[#This Row],[no_utilities]]=1,12000,0))/IF(Granger_Inventory[[#This Row],[unbuildable]]=1,2,1)</f>
        <v>30364.617541091193</v>
      </c>
      <c r="BX498" s="8">
        <f>Granger_Inventory[[#This Row],[pre_res]]*Granger_Inventory[[#This Row],[overall_adj]]</f>
        <v>173611.56150726395</v>
      </c>
      <c r="BY498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498">
        <f>ROUND(Granger_Inventory[[#This Row],[detatched_value]]*Lookups!$I$45,-2)</f>
        <v>7700</v>
      </c>
      <c r="CA498">
        <f>IF(ROUND(Granger_Inventory[[#This Row],[adj_res]]*Lookups!$I$45,-2)&lt;Granger_Inventory[[#This Row],[min_res]],Granger_Inventory[[#This Row],[min_res]],ROUND(Granger_Inventory[[#This Row],[adj_res]]*Lookups!$I$45,-2))</f>
        <v>164900</v>
      </c>
      <c r="CB498">
        <f>Granger_Inventory[[#This Row],[final_det]]+Granger_Inventory[[#This Row],[final_res]]</f>
        <v>172600</v>
      </c>
      <c r="CC498">
        <f>Granger_Inventory[[#This Row],[final_land]]+Granger_Inventory[[#This Row],[final_imp]]+Granger_Inventory[[#This Row],[crop_value]]</f>
        <v>201400</v>
      </c>
      <c r="CE498" t="str">
        <f t="shared" si="7"/>
        <v>update valuation set market_land =28800, market_bldg=172600, market_total =201400, market_mdno =402, market_date ='9/10/2023' where link_id = (select link_id from parcel where parcel_year = '2024' and parcel_id = '21102121467');</v>
      </c>
    </row>
    <row r="499" spans="1:83" x14ac:dyDescent="0.25">
      <c r="A499">
        <v>21102121468</v>
      </c>
      <c r="B499">
        <v>0.13</v>
      </c>
      <c r="C499" t="s">
        <v>137</v>
      </c>
      <c r="D499" t="s">
        <v>137</v>
      </c>
      <c r="E499" t="s">
        <v>54</v>
      </c>
      <c r="F499" t="s">
        <v>54</v>
      </c>
      <c r="G499">
        <v>3</v>
      </c>
      <c r="H499" t="s">
        <v>55</v>
      </c>
      <c r="I499">
        <v>125600</v>
      </c>
      <c r="J499">
        <v>25500</v>
      </c>
      <c r="K499">
        <v>0.13</v>
      </c>
      <c r="L499">
        <f>IF(Granger_Inventory[[#This Row],[parcel_acres]]-Granger_Inventory[[#This Row],[non_valued_acres]] =0,0,LN(Granger_Inventory[[#This Row],[parcel_acres]]-Granger_Inventory[[#This Row],[non_valued_acres]]))</f>
        <v>-2.0402208285265546</v>
      </c>
      <c r="M499">
        <v>0</v>
      </c>
      <c r="N499">
        <v>0</v>
      </c>
      <c r="O499">
        <v>0</v>
      </c>
      <c r="P499">
        <v>47108.068500000001</v>
      </c>
      <c r="Q499">
        <v>122298</v>
      </c>
      <c r="R499">
        <f>(Granger_Inventory[[#This Row],[ln_acres]]*Granger_Inventory[[#This Row],[coeff]])+Granger_Inventory[[#This Row],[const]]</f>
        <v>26187.137454644311</v>
      </c>
      <c r="S499" t="s">
        <v>56</v>
      </c>
      <c r="T499">
        <v>1</v>
      </c>
      <c r="U499" t="s">
        <v>71</v>
      </c>
      <c r="V499" t="s">
        <v>77</v>
      </c>
      <c r="W499">
        <v>0</v>
      </c>
      <c r="X499">
        <v>0</v>
      </c>
      <c r="Y499">
        <v>44</v>
      </c>
      <c r="Z499">
        <v>48</v>
      </c>
      <c r="AA499">
        <v>50</v>
      </c>
      <c r="AB499">
        <v>1500</v>
      </c>
      <c r="AC499">
        <v>1073</v>
      </c>
      <c r="AD499">
        <v>1073</v>
      </c>
      <c r="AE499">
        <v>0</v>
      </c>
      <c r="AF499">
        <v>0</v>
      </c>
      <c r="AG499">
        <v>0</v>
      </c>
      <c r="AH499">
        <v>0</v>
      </c>
      <c r="AI499">
        <v>319</v>
      </c>
      <c r="AJ499">
        <v>0</v>
      </c>
      <c r="AK499">
        <v>0</v>
      </c>
      <c r="AL499">
        <v>0</v>
      </c>
      <c r="AM499">
        <v>480</v>
      </c>
      <c r="AN499">
        <v>60</v>
      </c>
      <c r="AO499">
        <v>480</v>
      </c>
      <c r="AP499">
        <v>5</v>
      </c>
      <c r="AQ499">
        <v>0</v>
      </c>
      <c r="AR499">
        <v>0</v>
      </c>
      <c r="AS499" t="s">
        <v>59</v>
      </c>
      <c r="AT499">
        <v>1</v>
      </c>
      <c r="AU499" t="s">
        <v>68</v>
      </c>
      <c r="AV499" t="s">
        <v>65</v>
      </c>
      <c r="AW499">
        <v>0</v>
      </c>
      <c r="AX499">
        <v>3</v>
      </c>
      <c r="AY499">
        <v>0</v>
      </c>
      <c r="AZ499">
        <v>0</v>
      </c>
      <c r="BA499">
        <v>100</v>
      </c>
      <c r="BB499">
        <v>100</v>
      </c>
      <c r="BC499">
        <v>100</v>
      </c>
      <c r="BD499">
        <v>100</v>
      </c>
      <c r="BE499">
        <v>1</v>
      </c>
      <c r="BF499">
        <v>15000</v>
      </c>
      <c r="BG499">
        <v>1000</v>
      </c>
      <c r="BH499" s="8">
        <f>Granger_Inventory[[#This Row],[land_extract]]*Lookups!$B$3</f>
        <v>15600.484345565219</v>
      </c>
      <c r="BI499" s="8">
        <f>IF(Granger_Inventory[[#This Row],[bldg_style]]="",0,Lookups!$B$2)</f>
        <v>29703.559000000001</v>
      </c>
      <c r="BJ499" s="8">
        <f>_xlfn.IFNA(VLOOKUP(Granger_Inventory[[#This Row],[quality]],Lookups!$H$2:$J$14,3,FALSE),0)</f>
        <v>34195</v>
      </c>
      <c r="BK499" s="8">
        <f>_xlfn.IFNA(VLOOKUP(Granger_Inventory[[#This Row],[condition]],Lookups!$H$17:$J$24,3,FALSE),0)</f>
        <v>33736</v>
      </c>
      <c r="BL499" s="8">
        <f>Granger_Inventory[[#This Row],[Age]]*Lookups!$B$16</f>
        <v>-9951.8927999999996</v>
      </c>
      <c r="BM499" s="8">
        <f>Granger_Inventory[[#This Row],[living_area]]*Lookups!$B$17</f>
        <v>72183.831357000003</v>
      </c>
      <c r="BN499" s="8">
        <f>(Granger_Inventory[[#This Row],[att_gar]]+Granger_Inventory[[#This Row],[blt_gar]])*Lookups!$B$18</f>
        <v>15454.779934</v>
      </c>
      <c r="BO499" s="8">
        <f>Granger_Inventory[[#This Row],[Patio]]*Lookups!$B$19</f>
        <v>26071.246079999997</v>
      </c>
      <c r="BP499" s="8">
        <f>SUM(Granger_Inventory[[#This Row],[Intercept]:[Patio_Value]])*Granger_Inventory[[#This Row],[res_pct]]</f>
        <v>201392.52357100003</v>
      </c>
      <c r="BQ499" s="8">
        <f>Granger_Inventory[[#This Row],[land_value]]</f>
        <v>15600.484345565219</v>
      </c>
      <c r="BR499" s="4">
        <f>_xlfn.IFNA(VLOOKUP(Granger_Inventory[[#This Row],[quality]],Lookups!$A$25:$C$35,3,FALSE),1)</f>
        <v>0.98258795897788032</v>
      </c>
      <c r="BS499" s="4">
        <f>_xlfn.IFNA(VLOOKUP(Granger_Inventory[[#This Row],[condition]],Lookups!$A$38:$C$45,3,FALSE),1)</f>
        <v>0.92294678898076177</v>
      </c>
      <c r="BT499" s="4">
        <f>IF(Granger_Inventory[[#This Row],[decade]]="",1,_xlfn.IFNA(VLOOKUP(Granger_Inventory[[#This Row],[decade]],Lookups!$G$28:$I$42,3,FALSE),1))</f>
        <v>1.2441094871772171</v>
      </c>
      <c r="BU499" s="4">
        <f>_xlfn.IFNA(VLOOKUP(Granger_Inventory[[#This Row],[living_area_range]],Lookups!$A$48:$C$57,3,FALSE),1)</f>
        <v>0.97960506760539345</v>
      </c>
      <c r="BV499" s="4">
        <f>AVERAGE(Granger_Inventory[[#This Row],[qual_adj]:[living_range_adj]])</f>
        <v>1.0323123256853131</v>
      </c>
      <c r="BW499" s="8">
        <f>(Granger_Inventory[[#This Row],[sum_land]]-IF(Granger_Inventory[[#This Row],[no_utilities]]=1,12000,0))/IF(Granger_Inventory[[#This Row],[unbuildable]]=1,2,1)</f>
        <v>15600.484345565219</v>
      </c>
      <c r="BX499" s="8">
        <f>Granger_Inventory[[#This Row],[pre_res]]*Granger_Inventory[[#This Row],[overall_adj]]</f>
        <v>207899.98438321328</v>
      </c>
      <c r="BY499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499">
        <f>ROUND(Granger_Inventory[[#This Row],[detatched_value]]*Lookups!$I$45,-2)</f>
        <v>0</v>
      </c>
      <c r="CA499">
        <f>IF(ROUND(Granger_Inventory[[#This Row],[adj_res]]*Lookups!$I$45,-2)&lt;Granger_Inventory[[#This Row],[min_res]],Granger_Inventory[[#This Row],[min_res]],ROUND(Granger_Inventory[[#This Row],[adj_res]]*Lookups!$I$45,-2))</f>
        <v>197500</v>
      </c>
      <c r="CB499">
        <f>Granger_Inventory[[#This Row],[final_det]]+Granger_Inventory[[#This Row],[final_res]]</f>
        <v>197500</v>
      </c>
      <c r="CC499">
        <f>Granger_Inventory[[#This Row],[final_land]]+Granger_Inventory[[#This Row],[final_imp]]+Granger_Inventory[[#This Row],[crop_value]]</f>
        <v>212500</v>
      </c>
      <c r="CE499" t="str">
        <f t="shared" si="7"/>
        <v>update valuation set market_land =15000, market_bldg=197500, market_total =212500, market_mdno =402, market_date ='9/10/2023' where link_id = (select link_id from parcel where parcel_year = '2024' and parcel_id = '21102121468');</v>
      </c>
    </row>
    <row r="500" spans="1:83" x14ac:dyDescent="0.25">
      <c r="A500">
        <v>21102121469</v>
      </c>
      <c r="B500">
        <v>0.19</v>
      </c>
      <c r="C500" t="s">
        <v>137</v>
      </c>
      <c r="D500" t="s">
        <v>137</v>
      </c>
      <c r="E500" t="s">
        <v>54</v>
      </c>
      <c r="F500" t="s">
        <v>54</v>
      </c>
      <c r="G500">
        <v>3</v>
      </c>
      <c r="H500" t="s">
        <v>55</v>
      </c>
      <c r="I500">
        <v>91300</v>
      </c>
      <c r="J500">
        <v>27700</v>
      </c>
      <c r="K500">
        <v>0.19</v>
      </c>
      <c r="L50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500">
        <v>0</v>
      </c>
      <c r="N500">
        <v>0</v>
      </c>
      <c r="O500">
        <v>0</v>
      </c>
      <c r="P500">
        <v>47108.068500000001</v>
      </c>
      <c r="Q500">
        <v>122298</v>
      </c>
      <c r="R500">
        <f>(Granger_Inventory[[#This Row],[ln_acres]]*Granger_Inventory[[#This Row],[coeff]])+Granger_Inventory[[#This Row],[const]]</f>
        <v>44064.160548957996</v>
      </c>
      <c r="S500" t="s">
        <v>56</v>
      </c>
      <c r="T500">
        <v>1</v>
      </c>
      <c r="U500" t="s">
        <v>78</v>
      </c>
      <c r="V500" t="s">
        <v>77</v>
      </c>
      <c r="W500">
        <v>0</v>
      </c>
      <c r="X500">
        <v>0</v>
      </c>
      <c r="Y500">
        <v>44</v>
      </c>
      <c r="Z500">
        <v>48</v>
      </c>
      <c r="AA500">
        <v>50</v>
      </c>
      <c r="AB500">
        <v>1500</v>
      </c>
      <c r="AC500">
        <v>1080</v>
      </c>
      <c r="AD500">
        <v>1080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24</v>
      </c>
      <c r="AO500">
        <v>0</v>
      </c>
      <c r="AP500">
        <v>5</v>
      </c>
      <c r="AQ500">
        <v>0</v>
      </c>
      <c r="AR500">
        <v>0</v>
      </c>
      <c r="AS500" t="s">
        <v>59</v>
      </c>
      <c r="AT500">
        <v>1</v>
      </c>
      <c r="AU500" t="s">
        <v>68</v>
      </c>
      <c r="AV500" t="s">
        <v>65</v>
      </c>
      <c r="AW500">
        <v>0</v>
      </c>
      <c r="AX500">
        <v>3</v>
      </c>
      <c r="AY500">
        <v>0</v>
      </c>
      <c r="AZ500">
        <v>8100</v>
      </c>
      <c r="BA500">
        <v>100</v>
      </c>
      <c r="BB500">
        <v>100</v>
      </c>
      <c r="BC500">
        <v>100</v>
      </c>
      <c r="BD500">
        <v>100</v>
      </c>
      <c r="BE500">
        <v>1</v>
      </c>
      <c r="BF500">
        <v>15000</v>
      </c>
      <c r="BG500">
        <v>1000</v>
      </c>
      <c r="BH500" s="8">
        <f>Granger_Inventory[[#This Row],[land_extract]]*Lookups!$B$3</f>
        <v>26250.377615159185</v>
      </c>
      <c r="BI500" s="8">
        <f>IF(Granger_Inventory[[#This Row],[bldg_style]]="",0,Lookups!$B$2)</f>
        <v>29703.559000000001</v>
      </c>
      <c r="BJ500" s="8">
        <f>_xlfn.IFNA(VLOOKUP(Granger_Inventory[[#This Row],[quality]],Lookups!$H$2:$J$14,3,FALSE),0)</f>
        <v>23737.786340274597</v>
      </c>
      <c r="BK500" s="8">
        <f>_xlfn.IFNA(VLOOKUP(Granger_Inventory[[#This Row],[condition]],Lookups!$H$17:$J$24,3,FALSE),0)</f>
        <v>33736</v>
      </c>
      <c r="BL500" s="8">
        <f>Granger_Inventory[[#This Row],[Age]]*Lookups!$B$16</f>
        <v>-9951.8927999999996</v>
      </c>
      <c r="BM500" s="8">
        <f>Granger_Inventory[[#This Row],[living_area]]*Lookups!$B$17</f>
        <v>72654.741720000005</v>
      </c>
      <c r="BN500" s="8">
        <f>(Granger_Inventory[[#This Row],[att_gar]]+Granger_Inventory[[#This Row],[blt_gar]])*Lookups!$B$18</f>
        <v>0</v>
      </c>
      <c r="BO500" s="8">
        <f>Granger_Inventory[[#This Row],[Patio]]*Lookups!$B$19</f>
        <v>0</v>
      </c>
      <c r="BP500" s="8">
        <f>SUM(Granger_Inventory[[#This Row],[Intercept]:[Patio_Value]])*Granger_Inventory[[#This Row],[res_pct]]</f>
        <v>149880.19426027458</v>
      </c>
      <c r="BQ500" s="8">
        <f>Granger_Inventory[[#This Row],[land_value]]</f>
        <v>26250.377615159185</v>
      </c>
      <c r="BR500" s="4">
        <f>_xlfn.IFNA(VLOOKUP(Granger_Inventory[[#This Row],[quality]],Lookups!$A$25:$C$35,3,FALSE),1)</f>
        <v>0.77695375541795109</v>
      </c>
      <c r="BS500" s="4">
        <f>_xlfn.IFNA(VLOOKUP(Granger_Inventory[[#This Row],[condition]],Lookups!$A$38:$C$45,3,FALSE),1)</f>
        <v>0.92294678898076177</v>
      </c>
      <c r="BT500" s="4">
        <f>IF(Granger_Inventory[[#This Row],[decade]]="",1,_xlfn.IFNA(VLOOKUP(Granger_Inventory[[#This Row],[decade]],Lookups!$G$28:$I$42,3,FALSE),1))</f>
        <v>1.2441094871772171</v>
      </c>
      <c r="BU500" s="4">
        <f>_xlfn.IFNA(VLOOKUP(Granger_Inventory[[#This Row],[living_area_range]],Lookups!$A$48:$C$57,3,FALSE),1)</f>
        <v>0.97960506760539345</v>
      </c>
      <c r="BV500" s="4">
        <f>AVERAGE(Granger_Inventory[[#This Row],[qual_adj]:[living_range_adj]])</f>
        <v>0.98090377479533086</v>
      </c>
      <c r="BW500" s="8">
        <f>(Granger_Inventory[[#This Row],[sum_land]]-IF(Granger_Inventory[[#This Row],[no_utilities]]=1,12000,0))/IF(Granger_Inventory[[#This Row],[unbuildable]]=1,2,1)</f>
        <v>26250.377615159185</v>
      </c>
      <c r="BX500" s="8">
        <f>Granger_Inventory[[#This Row],[pre_res]]*Granger_Inventory[[#This Row],[overall_adj]]</f>
        <v>147018.04831696083</v>
      </c>
      <c r="BY50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500">
        <f>ROUND(Granger_Inventory[[#This Row],[detatched_value]]*Lookups!$I$45,-2)</f>
        <v>7700</v>
      </c>
      <c r="CA500">
        <f>IF(ROUND(Granger_Inventory[[#This Row],[adj_res]]*Lookups!$I$45,-2)&lt;Granger_Inventory[[#This Row],[min_res]],Granger_Inventory[[#This Row],[min_res]],ROUND(Granger_Inventory[[#This Row],[adj_res]]*Lookups!$I$45,-2))</f>
        <v>139700</v>
      </c>
      <c r="CB500">
        <f>Granger_Inventory[[#This Row],[final_det]]+Granger_Inventory[[#This Row],[final_res]]</f>
        <v>147400</v>
      </c>
      <c r="CC500">
        <f>Granger_Inventory[[#This Row],[final_land]]+Granger_Inventory[[#This Row],[final_imp]]+Granger_Inventory[[#This Row],[crop_value]]</f>
        <v>172300</v>
      </c>
      <c r="CE500" t="str">
        <f t="shared" si="7"/>
        <v>update valuation set market_land =24900, market_bldg=147400, market_total =172300, market_mdno =402, market_date ='9/10/2023' where link_id = (select link_id from parcel where parcel_year = '2024' and parcel_id = '21102121469');</v>
      </c>
    </row>
    <row r="501" spans="1:83" x14ac:dyDescent="0.25">
      <c r="A501">
        <v>21102121471</v>
      </c>
      <c r="B501">
        <v>0.69</v>
      </c>
      <c r="C501">
        <v>30224</v>
      </c>
      <c r="D501" t="s">
        <v>137</v>
      </c>
      <c r="E501" t="s">
        <v>54</v>
      </c>
      <c r="F501" t="s">
        <v>54</v>
      </c>
      <c r="G501">
        <v>3</v>
      </c>
      <c r="H501" t="s">
        <v>55</v>
      </c>
      <c r="I501">
        <v>173200</v>
      </c>
      <c r="J501">
        <v>35400</v>
      </c>
      <c r="K501">
        <v>0.69</v>
      </c>
      <c r="L501">
        <f>IF(Granger_Inventory[[#This Row],[parcel_acres]]-Granger_Inventory[[#This Row],[non_valued_acres]] =0,0,LN(Granger_Inventory[[#This Row],[parcel_acres]]-Granger_Inventory[[#This Row],[non_valued_acres]]))</f>
        <v>-0.37106368139083207</v>
      </c>
      <c r="M501">
        <v>0</v>
      </c>
      <c r="N501">
        <v>0</v>
      </c>
      <c r="O501">
        <v>0</v>
      </c>
      <c r="P501">
        <v>47108.068500000001</v>
      </c>
      <c r="Q501">
        <v>122298</v>
      </c>
      <c r="R501">
        <f>(Granger_Inventory[[#This Row],[ln_acres]]*Granger_Inventory[[#This Row],[coeff]])+Granger_Inventory[[#This Row],[const]]</f>
        <v>104817.9066791785</v>
      </c>
      <c r="S501" t="s">
        <v>56</v>
      </c>
      <c r="T501">
        <v>1</v>
      </c>
      <c r="U501" t="s">
        <v>64</v>
      </c>
      <c r="V501" t="s">
        <v>79</v>
      </c>
      <c r="W501">
        <v>0</v>
      </c>
      <c r="X501">
        <v>0</v>
      </c>
      <c r="Y501">
        <v>44</v>
      </c>
      <c r="Z501">
        <v>46</v>
      </c>
      <c r="AA501">
        <v>50</v>
      </c>
      <c r="AB501">
        <v>2000</v>
      </c>
      <c r="AC501">
        <v>1838</v>
      </c>
      <c r="AD501">
        <v>1838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210</v>
      </c>
      <c r="AM501">
        <v>0</v>
      </c>
      <c r="AN501">
        <v>0</v>
      </c>
      <c r="AO501">
        <v>0</v>
      </c>
      <c r="AP501">
        <v>8</v>
      </c>
      <c r="AQ501">
        <v>0</v>
      </c>
      <c r="AR501">
        <v>1</v>
      </c>
      <c r="AS501" t="s">
        <v>59</v>
      </c>
      <c r="AT501">
        <v>1</v>
      </c>
      <c r="AU501" t="s">
        <v>76</v>
      </c>
      <c r="AV501" t="s">
        <v>65</v>
      </c>
      <c r="AW501">
        <v>0</v>
      </c>
      <c r="AX501">
        <v>3</v>
      </c>
      <c r="AY501">
        <v>0</v>
      </c>
      <c r="AZ501">
        <v>14600</v>
      </c>
      <c r="BA501">
        <v>100</v>
      </c>
      <c r="BB501">
        <v>100</v>
      </c>
      <c r="BC501">
        <v>100</v>
      </c>
      <c r="BD501">
        <v>100</v>
      </c>
      <c r="BE501">
        <v>1</v>
      </c>
      <c r="BF501">
        <v>15000</v>
      </c>
      <c r="BG501">
        <v>1000</v>
      </c>
      <c r="BH501" s="8">
        <f>Granger_Inventory[[#This Row],[land_extract]]*Lookups!$B$3</f>
        <v>62443.255400312351</v>
      </c>
      <c r="BI501" s="8">
        <f>IF(Granger_Inventory[[#This Row],[bldg_style]]="",0,Lookups!$B$2)</f>
        <v>29703.559000000001</v>
      </c>
      <c r="BJ501" s="8">
        <f>_xlfn.IFNA(VLOOKUP(Granger_Inventory[[#This Row],[quality]],Lookups!$H$2:$J$14,3,FALSE),0)</f>
        <v>36568</v>
      </c>
      <c r="BK501" s="8">
        <f>_xlfn.IFNA(VLOOKUP(Granger_Inventory[[#This Row],[condition]],Lookups!$H$17:$J$24,3,FALSE),0)</f>
        <v>86727</v>
      </c>
      <c r="BL501" s="8">
        <f>Granger_Inventory[[#This Row],[Age]]*Lookups!$B$16</f>
        <v>-9537.230599999999</v>
      </c>
      <c r="BM501" s="8">
        <f>Granger_Inventory[[#This Row],[living_area]]*Lookups!$B$17</f>
        <v>123647.606742</v>
      </c>
      <c r="BN501" s="8">
        <f>(Granger_Inventory[[#This Row],[att_gar]]+Granger_Inventory[[#This Row],[blt_gar]])*Lookups!$B$18</f>
        <v>0</v>
      </c>
      <c r="BO501" s="8">
        <f>Granger_Inventory[[#This Row],[Patio]]*Lookups!$B$19</f>
        <v>0</v>
      </c>
      <c r="BP501" s="8">
        <f>SUM(Granger_Inventory[[#This Row],[Intercept]:[Patio_Value]])*Granger_Inventory[[#This Row],[res_pct]]</f>
        <v>267108.93514199997</v>
      </c>
      <c r="BQ501" s="8">
        <f>Granger_Inventory[[#This Row],[land_value]]</f>
        <v>62443.255400312351</v>
      </c>
      <c r="BR501" s="4">
        <f>_xlfn.IFNA(VLOOKUP(Granger_Inventory[[#This Row],[quality]],Lookups!$A$25:$C$35,3,FALSE),1)</f>
        <v>0.99049976351917957</v>
      </c>
      <c r="BS501" s="4">
        <f>_xlfn.IFNA(VLOOKUP(Granger_Inventory[[#This Row],[condition]],Lookups!$A$38:$C$45,3,FALSE),1)</f>
        <v>0.85322907131620684</v>
      </c>
      <c r="BT501" s="4">
        <f>IF(Granger_Inventory[[#This Row],[decade]]="",1,_xlfn.IFNA(VLOOKUP(Granger_Inventory[[#This Row],[decade]],Lookups!$G$28:$I$42,3,FALSE),1))</f>
        <v>1.2441094871772171</v>
      </c>
      <c r="BU501" s="4">
        <f>_xlfn.IFNA(VLOOKUP(Granger_Inventory[[#This Row],[living_area_range]],Lookups!$A$48:$C$57,3,FALSE),1)</f>
        <v>0.97860968051050168</v>
      </c>
      <c r="BV501" s="4">
        <f>AVERAGE(Granger_Inventory[[#This Row],[qual_adj]:[living_range_adj]])</f>
        <v>1.0166120006307764</v>
      </c>
      <c r="BW501" s="8">
        <f>(Granger_Inventory[[#This Row],[sum_land]]-IF(Granger_Inventory[[#This Row],[no_utilities]]=1,12000,0))/IF(Granger_Inventory[[#This Row],[unbuildable]]=1,2,1)</f>
        <v>62443.255400312351</v>
      </c>
      <c r="BX501" s="8">
        <f>Granger_Inventory[[#This Row],[pre_res]]*Granger_Inventory[[#This Row],[overall_adj]]</f>
        <v>271546.14894106489</v>
      </c>
      <c r="BY501">
        <f>IF(ROUND(Granger_Inventory[[#This Row],[adj_land]]*Lookups!$I$45,-2)&lt;Granger_Inventory[[#This Row],[min_land]],Granger_Inventory[[#This Row],[min_land]],ROUND(Granger_Inventory[[#This Row],[adj_land]]*Lookups!$I$45,-2))</f>
        <v>59300</v>
      </c>
      <c r="BZ501">
        <f>ROUND(Granger_Inventory[[#This Row],[detatched_value]]*Lookups!$I$45,-2)</f>
        <v>13900</v>
      </c>
      <c r="CA501">
        <f>IF(ROUND(Granger_Inventory[[#This Row],[adj_res]]*Lookups!$I$45,-2)&lt;Granger_Inventory[[#This Row],[min_res]],Granger_Inventory[[#This Row],[min_res]],ROUND(Granger_Inventory[[#This Row],[adj_res]]*Lookups!$I$45,-2))</f>
        <v>258000</v>
      </c>
      <c r="CB501">
        <f>Granger_Inventory[[#This Row],[final_det]]+Granger_Inventory[[#This Row],[final_res]]</f>
        <v>271900</v>
      </c>
      <c r="CC501">
        <f>Granger_Inventory[[#This Row],[final_land]]+Granger_Inventory[[#This Row],[final_imp]]+Granger_Inventory[[#This Row],[crop_value]]</f>
        <v>331200</v>
      </c>
      <c r="CE501" t="str">
        <f t="shared" si="7"/>
        <v>update valuation set market_land =59300, market_bldg=271900, market_total =331200, market_mdno =402, market_date ='9/10/2023' where link_id = (select link_id from parcel where parcel_year = '2024' and parcel_id = '21102121471');</v>
      </c>
    </row>
    <row r="502" spans="1:83" x14ac:dyDescent="0.25">
      <c r="A502">
        <v>21102121473</v>
      </c>
      <c r="B502">
        <v>0.32</v>
      </c>
      <c r="C502">
        <v>14001</v>
      </c>
      <c r="D502" t="s">
        <v>137</v>
      </c>
      <c r="E502" t="s">
        <v>54</v>
      </c>
      <c r="F502" t="s">
        <v>54</v>
      </c>
      <c r="G502">
        <v>3</v>
      </c>
      <c r="H502" t="s">
        <v>55</v>
      </c>
      <c r="I502">
        <v>119500</v>
      </c>
      <c r="J502">
        <v>30800</v>
      </c>
      <c r="K502">
        <v>0.32</v>
      </c>
      <c r="L502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502">
        <v>0</v>
      </c>
      <c r="N502">
        <v>0</v>
      </c>
      <c r="O502">
        <v>0</v>
      </c>
      <c r="P502">
        <v>47108.068500000001</v>
      </c>
      <c r="Q502">
        <v>122298</v>
      </c>
      <c r="R502">
        <f>(Granger_Inventory[[#This Row],[ln_acres]]*Granger_Inventory[[#This Row],[coeff]])+Granger_Inventory[[#This Row],[const]]</f>
        <v>68621.451736314106</v>
      </c>
      <c r="S502" t="s">
        <v>56</v>
      </c>
      <c r="T502">
        <v>1</v>
      </c>
      <c r="U502" t="s">
        <v>71</v>
      </c>
      <c r="V502" t="s">
        <v>77</v>
      </c>
      <c r="W502">
        <v>0</v>
      </c>
      <c r="X502">
        <v>0</v>
      </c>
      <c r="Y502">
        <v>43</v>
      </c>
      <c r="Z502">
        <v>44</v>
      </c>
      <c r="AA502">
        <v>50</v>
      </c>
      <c r="AB502">
        <v>1500</v>
      </c>
      <c r="AC502">
        <v>1296</v>
      </c>
      <c r="AD502">
        <v>1296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72</v>
      </c>
      <c r="AN502">
        <v>0</v>
      </c>
      <c r="AO502">
        <v>72</v>
      </c>
      <c r="AP502">
        <v>5</v>
      </c>
      <c r="AQ502">
        <v>0</v>
      </c>
      <c r="AR502">
        <v>0</v>
      </c>
      <c r="AS502" t="s">
        <v>59</v>
      </c>
      <c r="AT502">
        <v>0</v>
      </c>
      <c r="AU502" t="s">
        <v>83</v>
      </c>
      <c r="AV502" t="s">
        <v>65</v>
      </c>
      <c r="AW502">
        <v>0</v>
      </c>
      <c r="AX502">
        <v>3</v>
      </c>
      <c r="AY502">
        <v>0</v>
      </c>
      <c r="AZ502">
        <v>0</v>
      </c>
      <c r="BA502">
        <v>100</v>
      </c>
      <c r="BB502">
        <v>100</v>
      </c>
      <c r="BC502">
        <v>100</v>
      </c>
      <c r="BD502">
        <v>100</v>
      </c>
      <c r="BE502">
        <v>1</v>
      </c>
      <c r="BF502">
        <v>15000</v>
      </c>
      <c r="BG502">
        <v>1000</v>
      </c>
      <c r="BH502" s="8">
        <f>Granger_Inventory[[#This Row],[land_extract]]*Lookups!$B$3</f>
        <v>40879.912340035793</v>
      </c>
      <c r="BI502" s="8">
        <f>IF(Granger_Inventory[[#This Row],[bldg_style]]="",0,Lookups!$B$2)</f>
        <v>29703.559000000001</v>
      </c>
      <c r="BJ502" s="8">
        <f>_xlfn.IFNA(VLOOKUP(Granger_Inventory[[#This Row],[quality]],Lookups!$H$2:$J$14,3,FALSE),0)</f>
        <v>34195</v>
      </c>
      <c r="BK502" s="8">
        <f>_xlfn.IFNA(VLOOKUP(Granger_Inventory[[#This Row],[condition]],Lookups!$H$17:$J$24,3,FALSE),0)</f>
        <v>33736</v>
      </c>
      <c r="BL502" s="8">
        <f>Granger_Inventory[[#This Row],[Age]]*Lookups!$B$16</f>
        <v>-9122.5684000000001</v>
      </c>
      <c r="BM502" s="8">
        <f>Granger_Inventory[[#This Row],[living_area]]*Lookups!$B$17</f>
        <v>87185.690063999995</v>
      </c>
      <c r="BN502" s="8">
        <f>(Granger_Inventory[[#This Row],[att_gar]]+Granger_Inventory[[#This Row],[blt_gar]])*Lookups!$B$18</f>
        <v>0</v>
      </c>
      <c r="BO502" s="8">
        <f>Granger_Inventory[[#This Row],[Patio]]*Lookups!$B$19</f>
        <v>3910.6869119999997</v>
      </c>
      <c r="BP502" s="8">
        <f>SUM(Granger_Inventory[[#This Row],[Intercept]:[Patio_Value]])*Granger_Inventory[[#This Row],[res_pct]]</f>
        <v>179608.36757599999</v>
      </c>
      <c r="BQ502" s="8">
        <f>Granger_Inventory[[#This Row],[land_value]]</f>
        <v>40879.912340035793</v>
      </c>
      <c r="BR502" s="4">
        <f>_xlfn.IFNA(VLOOKUP(Granger_Inventory[[#This Row],[quality]],Lookups!$A$25:$C$35,3,FALSE),1)</f>
        <v>0.98258795897788032</v>
      </c>
      <c r="BS502" s="4">
        <f>_xlfn.IFNA(VLOOKUP(Granger_Inventory[[#This Row],[condition]],Lookups!$A$38:$C$45,3,FALSE),1)</f>
        <v>0.92294678898076177</v>
      </c>
      <c r="BT502" s="4">
        <f>IF(Granger_Inventory[[#This Row],[decade]]="",1,_xlfn.IFNA(VLOOKUP(Granger_Inventory[[#This Row],[decade]],Lookups!$G$28:$I$42,3,FALSE),1))</f>
        <v>1.2441094871772171</v>
      </c>
      <c r="BU502" s="4">
        <f>_xlfn.IFNA(VLOOKUP(Granger_Inventory[[#This Row],[living_area_range]],Lookups!$A$48:$C$57,3,FALSE),1)</f>
        <v>0.97960506760539345</v>
      </c>
      <c r="BV502" s="4">
        <f>AVERAGE(Granger_Inventory[[#This Row],[qual_adj]:[living_range_adj]])</f>
        <v>1.0323123256853131</v>
      </c>
      <c r="BW502" s="8">
        <f>(Granger_Inventory[[#This Row],[sum_land]]-IF(Granger_Inventory[[#This Row],[no_utilities]]=1,12000,0))/IF(Granger_Inventory[[#This Row],[unbuildable]]=1,2,1)</f>
        <v>40879.912340035793</v>
      </c>
      <c r="BX502" s="8">
        <f>Granger_Inventory[[#This Row],[pre_res]]*Granger_Inventory[[#This Row],[overall_adj]]</f>
        <v>185411.93164492311</v>
      </c>
      <c r="BY502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502">
        <f>ROUND(Granger_Inventory[[#This Row],[detatched_value]]*Lookups!$I$45,-2)</f>
        <v>0</v>
      </c>
      <c r="CA502">
        <f>IF(ROUND(Granger_Inventory[[#This Row],[adj_res]]*Lookups!$I$45,-2)&lt;Granger_Inventory[[#This Row],[min_res]],Granger_Inventory[[#This Row],[min_res]],ROUND(Granger_Inventory[[#This Row],[adj_res]]*Lookups!$I$45,-2))</f>
        <v>176100</v>
      </c>
      <c r="CB502">
        <f>Granger_Inventory[[#This Row],[final_det]]+Granger_Inventory[[#This Row],[final_res]]</f>
        <v>176100</v>
      </c>
      <c r="CC502">
        <f>Granger_Inventory[[#This Row],[final_land]]+Granger_Inventory[[#This Row],[final_imp]]+Granger_Inventory[[#This Row],[crop_value]]</f>
        <v>214900</v>
      </c>
      <c r="CE502" t="str">
        <f t="shared" si="7"/>
        <v>update valuation set market_land =38800, market_bldg=176100, market_total =214900, market_mdno =402, market_date ='9/10/2023' where link_id = (select link_id from parcel where parcel_year = '2024' and parcel_id = '21102121473');</v>
      </c>
    </row>
    <row r="503" spans="1:83" x14ac:dyDescent="0.25">
      <c r="A503">
        <v>21102121475</v>
      </c>
      <c r="B503">
        <v>0.33</v>
      </c>
      <c r="C503">
        <v>14469</v>
      </c>
      <c r="D503" t="s">
        <v>137</v>
      </c>
      <c r="E503" t="s">
        <v>54</v>
      </c>
      <c r="F503" t="s">
        <v>54</v>
      </c>
      <c r="G503">
        <v>3</v>
      </c>
      <c r="H503" t="s">
        <v>55</v>
      </c>
      <c r="I503">
        <v>126000</v>
      </c>
      <c r="J503">
        <v>31000</v>
      </c>
      <c r="K503">
        <v>0.33</v>
      </c>
      <c r="L503">
        <f>IF(Granger_Inventory[[#This Row],[parcel_acres]]-Granger_Inventory[[#This Row],[non_valued_acres]] =0,0,LN(Granger_Inventory[[#This Row],[parcel_acres]]-Granger_Inventory[[#This Row],[non_valued_acres]]))</f>
        <v>-1.1086626245216111</v>
      </c>
      <c r="M503">
        <v>0</v>
      </c>
      <c r="N503">
        <v>0</v>
      </c>
      <c r="O503">
        <v>0</v>
      </c>
      <c r="P503">
        <v>47108.068500000001</v>
      </c>
      <c r="Q503">
        <v>122298</v>
      </c>
      <c r="R503">
        <f>(Granger_Inventory[[#This Row],[ln_acres]]*Granger_Inventory[[#This Row],[coeff]])+Granger_Inventory[[#This Row],[const]]</f>
        <v>70071.045140646165</v>
      </c>
      <c r="S503" t="s">
        <v>56</v>
      </c>
      <c r="T503">
        <v>1</v>
      </c>
      <c r="U503" t="s">
        <v>71</v>
      </c>
      <c r="V503" t="s">
        <v>77</v>
      </c>
      <c r="W503">
        <v>0</v>
      </c>
      <c r="X503">
        <v>0</v>
      </c>
      <c r="Y503">
        <v>43</v>
      </c>
      <c r="Z503">
        <v>44</v>
      </c>
      <c r="AA503">
        <v>50</v>
      </c>
      <c r="AB503">
        <v>1500</v>
      </c>
      <c r="AC503">
        <v>1296</v>
      </c>
      <c r="AD503">
        <v>1296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8</v>
      </c>
      <c r="AQ503">
        <v>0</v>
      </c>
      <c r="AR503">
        <v>0</v>
      </c>
      <c r="AS503" t="s">
        <v>59</v>
      </c>
      <c r="AT503">
        <v>1</v>
      </c>
      <c r="AU503" t="s">
        <v>63</v>
      </c>
      <c r="AV503" t="s">
        <v>65</v>
      </c>
      <c r="AW503">
        <v>1</v>
      </c>
      <c r="AX503">
        <v>3</v>
      </c>
      <c r="AY503">
        <v>0</v>
      </c>
      <c r="AZ503">
        <v>0</v>
      </c>
      <c r="BA503">
        <v>100</v>
      </c>
      <c r="BB503">
        <v>100</v>
      </c>
      <c r="BC503">
        <v>100</v>
      </c>
      <c r="BD503">
        <v>100</v>
      </c>
      <c r="BE503">
        <v>1</v>
      </c>
      <c r="BF503">
        <v>15000</v>
      </c>
      <c r="BG503">
        <v>1000</v>
      </c>
      <c r="BH503" s="8">
        <f>Granger_Inventory[[#This Row],[land_extract]]*Lookups!$B$3</f>
        <v>41743.479778473251</v>
      </c>
      <c r="BI503" s="8">
        <f>IF(Granger_Inventory[[#This Row],[bldg_style]]="",0,Lookups!$B$2)</f>
        <v>29703.559000000001</v>
      </c>
      <c r="BJ503" s="8">
        <f>_xlfn.IFNA(VLOOKUP(Granger_Inventory[[#This Row],[quality]],Lookups!$H$2:$J$14,3,FALSE),0)</f>
        <v>34195</v>
      </c>
      <c r="BK503" s="8">
        <f>_xlfn.IFNA(VLOOKUP(Granger_Inventory[[#This Row],[condition]],Lookups!$H$17:$J$24,3,FALSE),0)</f>
        <v>33736</v>
      </c>
      <c r="BL503" s="8">
        <f>Granger_Inventory[[#This Row],[Age]]*Lookups!$B$16</f>
        <v>-9122.5684000000001</v>
      </c>
      <c r="BM503" s="8">
        <f>Granger_Inventory[[#This Row],[living_area]]*Lookups!$B$17</f>
        <v>87185.690063999995</v>
      </c>
      <c r="BN503" s="8">
        <f>(Granger_Inventory[[#This Row],[att_gar]]+Granger_Inventory[[#This Row],[blt_gar]])*Lookups!$B$18</f>
        <v>0</v>
      </c>
      <c r="BO503" s="8">
        <f>Granger_Inventory[[#This Row],[Patio]]*Lookups!$B$19</f>
        <v>0</v>
      </c>
      <c r="BP503" s="8">
        <f>SUM(Granger_Inventory[[#This Row],[Intercept]:[Patio_Value]])*Granger_Inventory[[#This Row],[res_pct]]</f>
        <v>175697.68066399998</v>
      </c>
      <c r="BQ503" s="8">
        <f>Granger_Inventory[[#This Row],[land_value]]</f>
        <v>41743.479778473251</v>
      </c>
      <c r="BR503" s="4">
        <f>_xlfn.IFNA(VLOOKUP(Granger_Inventory[[#This Row],[quality]],Lookups!$A$25:$C$35,3,FALSE),1)</f>
        <v>0.98258795897788032</v>
      </c>
      <c r="BS503" s="4">
        <f>_xlfn.IFNA(VLOOKUP(Granger_Inventory[[#This Row],[condition]],Lookups!$A$38:$C$45,3,FALSE),1)</f>
        <v>0.92294678898076177</v>
      </c>
      <c r="BT503" s="4">
        <f>IF(Granger_Inventory[[#This Row],[decade]]="",1,_xlfn.IFNA(VLOOKUP(Granger_Inventory[[#This Row],[decade]],Lookups!$G$28:$I$42,3,FALSE),1))</f>
        <v>1.2441094871772171</v>
      </c>
      <c r="BU503" s="4">
        <f>_xlfn.IFNA(VLOOKUP(Granger_Inventory[[#This Row],[living_area_range]],Lookups!$A$48:$C$57,3,FALSE),1)</f>
        <v>0.97960506760539345</v>
      </c>
      <c r="BV503" s="4">
        <f>AVERAGE(Granger_Inventory[[#This Row],[qual_adj]:[living_range_adj]])</f>
        <v>1.0323123256853131</v>
      </c>
      <c r="BW503" s="8">
        <f>(Granger_Inventory[[#This Row],[sum_land]]-IF(Granger_Inventory[[#This Row],[no_utilities]]=1,12000,0))/IF(Granger_Inventory[[#This Row],[unbuildable]]=1,2,1)</f>
        <v>41743.479778473251</v>
      </c>
      <c r="BX503" s="8">
        <f>Granger_Inventory[[#This Row],[pre_res]]*Granger_Inventory[[#This Row],[overall_adj]]</f>
        <v>181374.88134376929</v>
      </c>
      <c r="BY503">
        <f>IF(ROUND(Granger_Inventory[[#This Row],[adj_land]]*Lookups!$I$45,-2)&lt;Granger_Inventory[[#This Row],[min_land]],Granger_Inventory[[#This Row],[min_land]],ROUND(Granger_Inventory[[#This Row],[adj_land]]*Lookups!$I$45,-2))</f>
        <v>39700</v>
      </c>
      <c r="BZ503">
        <f>ROUND(Granger_Inventory[[#This Row],[detatched_value]]*Lookups!$I$45,-2)</f>
        <v>0</v>
      </c>
      <c r="CA503">
        <f>IF(ROUND(Granger_Inventory[[#This Row],[adj_res]]*Lookups!$I$45,-2)&lt;Granger_Inventory[[#This Row],[min_res]],Granger_Inventory[[#This Row],[min_res]],ROUND(Granger_Inventory[[#This Row],[adj_res]]*Lookups!$I$45,-2))</f>
        <v>172300</v>
      </c>
      <c r="CB503">
        <f>Granger_Inventory[[#This Row],[final_det]]+Granger_Inventory[[#This Row],[final_res]]</f>
        <v>172300</v>
      </c>
      <c r="CC503">
        <f>Granger_Inventory[[#This Row],[final_land]]+Granger_Inventory[[#This Row],[final_imp]]+Granger_Inventory[[#This Row],[crop_value]]</f>
        <v>212000</v>
      </c>
      <c r="CE503" t="str">
        <f t="shared" si="7"/>
        <v>update valuation set market_land =39700, market_bldg=172300, market_total =212000, market_mdno =402, market_date ='9/10/2023' where link_id = (select link_id from parcel where parcel_year = '2024' and parcel_id = '21102121475');</v>
      </c>
    </row>
    <row r="504" spans="1:83" x14ac:dyDescent="0.25">
      <c r="A504">
        <v>21102121476</v>
      </c>
      <c r="B504">
        <v>0.3</v>
      </c>
      <c r="C504">
        <v>13257</v>
      </c>
      <c r="D504" t="s">
        <v>137</v>
      </c>
      <c r="E504" t="s">
        <v>54</v>
      </c>
      <c r="F504" t="s">
        <v>54</v>
      </c>
      <c r="G504">
        <v>3</v>
      </c>
      <c r="H504" t="s">
        <v>55</v>
      </c>
      <c r="I504">
        <v>213100</v>
      </c>
      <c r="J504">
        <v>30400</v>
      </c>
      <c r="K504">
        <v>0.3</v>
      </c>
      <c r="L504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504">
        <v>0</v>
      </c>
      <c r="N504">
        <v>0</v>
      </c>
      <c r="O504">
        <v>0</v>
      </c>
      <c r="P504">
        <v>47108.068500000001</v>
      </c>
      <c r="Q504">
        <v>122298</v>
      </c>
      <c r="R504">
        <f>(Granger_Inventory[[#This Row],[ln_acres]]*Granger_Inventory[[#This Row],[coeff]])+Granger_Inventory[[#This Row],[const]]</f>
        <v>65581.166661676703</v>
      </c>
      <c r="S504" t="s">
        <v>56</v>
      </c>
      <c r="T504">
        <v>1</v>
      </c>
      <c r="U504" t="s">
        <v>64</v>
      </c>
      <c r="V504" t="s">
        <v>72</v>
      </c>
      <c r="W504">
        <v>0</v>
      </c>
      <c r="X504">
        <v>0</v>
      </c>
      <c r="Y504">
        <v>29</v>
      </c>
      <c r="Z504">
        <v>29</v>
      </c>
      <c r="AA504">
        <v>30</v>
      </c>
      <c r="AB504">
        <v>1500</v>
      </c>
      <c r="AC504">
        <v>1200</v>
      </c>
      <c r="AD504">
        <v>1200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408</v>
      </c>
      <c r="AN504">
        <v>0</v>
      </c>
      <c r="AO504">
        <v>408</v>
      </c>
      <c r="AP504">
        <v>8</v>
      </c>
      <c r="AQ504">
        <v>0</v>
      </c>
      <c r="AR504">
        <v>0</v>
      </c>
      <c r="AS504" t="s">
        <v>59</v>
      </c>
      <c r="AT504">
        <v>1</v>
      </c>
      <c r="AU504" t="s">
        <v>76</v>
      </c>
      <c r="AV504" t="s">
        <v>65</v>
      </c>
      <c r="AW504">
        <v>0</v>
      </c>
      <c r="AX504">
        <v>3</v>
      </c>
      <c r="AY504">
        <v>0</v>
      </c>
      <c r="AZ504">
        <v>32100</v>
      </c>
      <c r="BA504">
        <v>100</v>
      </c>
      <c r="BB504">
        <v>100</v>
      </c>
      <c r="BC504">
        <v>100</v>
      </c>
      <c r="BD504">
        <v>100</v>
      </c>
      <c r="BE504">
        <v>1</v>
      </c>
      <c r="BF504">
        <v>15000</v>
      </c>
      <c r="BG504">
        <v>1000</v>
      </c>
      <c r="BH504" s="8">
        <f>Granger_Inventory[[#This Row],[land_extract]]*Lookups!$B$3</f>
        <v>39068.720880293993</v>
      </c>
      <c r="BI504" s="8">
        <f>IF(Granger_Inventory[[#This Row],[bldg_style]]="",0,Lookups!$B$2)</f>
        <v>29703.559000000001</v>
      </c>
      <c r="BJ504" s="8">
        <f>_xlfn.IFNA(VLOOKUP(Granger_Inventory[[#This Row],[quality]],Lookups!$H$2:$J$14,3,FALSE),0)</f>
        <v>36568</v>
      </c>
      <c r="BK504" s="8">
        <f>_xlfn.IFNA(VLOOKUP(Granger_Inventory[[#This Row],[condition]],Lookups!$H$17:$J$24,3,FALSE),0)</f>
        <v>94106</v>
      </c>
      <c r="BL504" s="8">
        <f>Granger_Inventory[[#This Row],[Age]]*Lookups!$B$16</f>
        <v>-6012.6018999999997</v>
      </c>
      <c r="BM504" s="8">
        <f>Granger_Inventory[[#This Row],[living_area]]*Lookups!$B$17</f>
        <v>80727.4908</v>
      </c>
      <c r="BN504" s="8">
        <f>(Granger_Inventory[[#This Row],[att_gar]]+Granger_Inventory[[#This Row],[blt_gar]])*Lookups!$B$18</f>
        <v>0</v>
      </c>
      <c r="BO504" s="8">
        <f>Granger_Inventory[[#This Row],[Patio]]*Lookups!$B$19</f>
        <v>22160.559168</v>
      </c>
      <c r="BP504" s="8">
        <f>SUM(Granger_Inventory[[#This Row],[Intercept]:[Patio_Value]])*Granger_Inventory[[#This Row],[res_pct]]</f>
        <v>257253.00706800001</v>
      </c>
      <c r="BQ504" s="8">
        <f>Granger_Inventory[[#This Row],[land_value]]</f>
        <v>39068.720880293993</v>
      </c>
      <c r="BR504" s="4">
        <f>_xlfn.IFNA(VLOOKUP(Granger_Inventory[[#This Row],[quality]],Lookups!$A$25:$C$35,3,FALSE),1)</f>
        <v>0.99049976351917957</v>
      </c>
      <c r="BS504" s="4">
        <f>_xlfn.IFNA(VLOOKUP(Granger_Inventory[[#This Row],[condition]],Lookups!$A$38:$C$45,3,FALSE),1)</f>
        <v>0.98658583151544277</v>
      </c>
      <c r="BT504" s="4">
        <f>IF(Granger_Inventory[[#This Row],[decade]]="",1,_xlfn.IFNA(VLOOKUP(Granger_Inventory[[#This Row],[decade]],Lookups!$G$28:$I$42,3,FALSE),1))</f>
        <v>1.0539470644652671</v>
      </c>
      <c r="BU504" s="4">
        <f>_xlfn.IFNA(VLOOKUP(Granger_Inventory[[#This Row],[living_area_range]],Lookups!$A$48:$C$57,3,FALSE),1)</f>
        <v>0.97960506760539345</v>
      </c>
      <c r="BV504" s="4">
        <f>AVERAGE(Granger_Inventory[[#This Row],[qual_adj]:[living_range_adj]])</f>
        <v>1.0026594317763207</v>
      </c>
      <c r="BW504" s="8">
        <f>(Granger_Inventory[[#This Row],[sum_land]]-IF(Granger_Inventory[[#This Row],[no_utilities]]=1,12000,0))/IF(Granger_Inventory[[#This Row],[unbuildable]]=1,2,1)</f>
        <v>39068.720880293993</v>
      </c>
      <c r="BX504" s="8">
        <f>Granger_Inventory[[#This Row],[pre_res]]*Granger_Inventory[[#This Row],[overall_adj]]</f>
        <v>257937.15388955068</v>
      </c>
      <c r="BY504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504">
        <f>ROUND(Granger_Inventory[[#This Row],[detatched_value]]*Lookups!$I$45,-2)</f>
        <v>30500</v>
      </c>
      <c r="CA504">
        <f>IF(ROUND(Granger_Inventory[[#This Row],[adj_res]]*Lookups!$I$45,-2)&lt;Granger_Inventory[[#This Row],[min_res]],Granger_Inventory[[#This Row],[min_res]],ROUND(Granger_Inventory[[#This Row],[adj_res]]*Lookups!$I$45,-2))</f>
        <v>245000</v>
      </c>
      <c r="CB504">
        <f>Granger_Inventory[[#This Row],[final_det]]+Granger_Inventory[[#This Row],[final_res]]</f>
        <v>275500</v>
      </c>
      <c r="CC504">
        <f>Granger_Inventory[[#This Row],[final_land]]+Granger_Inventory[[#This Row],[final_imp]]+Granger_Inventory[[#This Row],[crop_value]]</f>
        <v>312600</v>
      </c>
      <c r="CE504" t="str">
        <f t="shared" si="7"/>
        <v>update valuation set market_land =37100, market_bldg=275500, market_total =312600, market_mdno =402, market_date ='9/10/2023' where link_id = (select link_id from parcel where parcel_year = '2024' and parcel_id = '21102121476');</v>
      </c>
    </row>
    <row r="505" spans="1:83" x14ac:dyDescent="0.25">
      <c r="A505">
        <v>21102121478</v>
      </c>
      <c r="B505">
        <v>0.35</v>
      </c>
      <c r="C505">
        <v>15134</v>
      </c>
      <c r="D505" t="s">
        <v>137</v>
      </c>
      <c r="E505" t="s">
        <v>54</v>
      </c>
      <c r="F505" t="s">
        <v>54</v>
      </c>
      <c r="G505">
        <v>3</v>
      </c>
      <c r="H505" t="s">
        <v>55</v>
      </c>
      <c r="I505">
        <v>96500</v>
      </c>
      <c r="J505">
        <v>31300</v>
      </c>
      <c r="K505">
        <v>0.35</v>
      </c>
      <c r="L505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505">
        <v>0</v>
      </c>
      <c r="N505">
        <v>0</v>
      </c>
      <c r="O505">
        <v>0</v>
      </c>
      <c r="P505">
        <v>47108.068500000001</v>
      </c>
      <c r="Q505">
        <v>122298</v>
      </c>
      <c r="R505">
        <f>(Granger_Inventory[[#This Row],[ln_acres]]*Granger_Inventory[[#This Row],[coeff]])+Granger_Inventory[[#This Row],[const]]</f>
        <v>72842.907446300756</v>
      </c>
      <c r="S505" t="s">
        <v>56</v>
      </c>
      <c r="T505">
        <v>1</v>
      </c>
      <c r="U505" t="s">
        <v>71</v>
      </c>
      <c r="V505" t="s">
        <v>77</v>
      </c>
      <c r="W505">
        <v>0</v>
      </c>
      <c r="X505">
        <v>0</v>
      </c>
      <c r="Y505">
        <v>43</v>
      </c>
      <c r="Z505">
        <v>43</v>
      </c>
      <c r="AA505">
        <v>50</v>
      </c>
      <c r="AB505">
        <v>1500</v>
      </c>
      <c r="AC505">
        <v>1107</v>
      </c>
      <c r="AD505">
        <v>1107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52</v>
      </c>
      <c r="AO505">
        <v>0</v>
      </c>
      <c r="AP505">
        <v>7</v>
      </c>
      <c r="AQ505">
        <v>0</v>
      </c>
      <c r="AR505">
        <v>0</v>
      </c>
      <c r="AS505" t="s">
        <v>59</v>
      </c>
      <c r="AT505">
        <v>0</v>
      </c>
      <c r="AU505" t="s">
        <v>83</v>
      </c>
      <c r="AV505" t="s">
        <v>65</v>
      </c>
      <c r="AW505">
        <v>0</v>
      </c>
      <c r="AX505">
        <v>3</v>
      </c>
      <c r="AY505">
        <v>0</v>
      </c>
      <c r="AZ505">
        <v>0</v>
      </c>
      <c r="BA505">
        <v>100</v>
      </c>
      <c r="BB505">
        <v>100</v>
      </c>
      <c r="BC505">
        <v>100</v>
      </c>
      <c r="BD505">
        <v>100</v>
      </c>
      <c r="BE505">
        <v>1</v>
      </c>
      <c r="BF505">
        <v>15000</v>
      </c>
      <c r="BG505">
        <v>1000</v>
      </c>
      <c r="BH505" s="8">
        <f>Granger_Inventory[[#This Row],[land_extract]]*Lookups!$B$3</f>
        <v>43394.763527310708</v>
      </c>
      <c r="BI505" s="8">
        <f>IF(Granger_Inventory[[#This Row],[bldg_style]]="",0,Lookups!$B$2)</f>
        <v>29703.559000000001</v>
      </c>
      <c r="BJ505" s="8">
        <f>_xlfn.IFNA(VLOOKUP(Granger_Inventory[[#This Row],[quality]],Lookups!$H$2:$J$14,3,FALSE),0)</f>
        <v>34195</v>
      </c>
      <c r="BK505" s="8">
        <f>_xlfn.IFNA(VLOOKUP(Granger_Inventory[[#This Row],[condition]],Lookups!$H$17:$J$24,3,FALSE),0)</f>
        <v>33736</v>
      </c>
      <c r="BL505" s="8">
        <f>Granger_Inventory[[#This Row],[Age]]*Lookups!$B$16</f>
        <v>-8915.2372999999989</v>
      </c>
      <c r="BM505" s="8">
        <f>Granger_Inventory[[#This Row],[living_area]]*Lookups!$B$17</f>
        <v>74471.110262999995</v>
      </c>
      <c r="BN505" s="8">
        <f>(Granger_Inventory[[#This Row],[att_gar]]+Granger_Inventory[[#This Row],[blt_gar]])*Lookups!$B$18</f>
        <v>0</v>
      </c>
      <c r="BO505" s="8">
        <f>Granger_Inventory[[#This Row],[Patio]]*Lookups!$B$19</f>
        <v>0</v>
      </c>
      <c r="BP505" s="8">
        <f>SUM(Granger_Inventory[[#This Row],[Intercept]:[Patio_Value]])*Granger_Inventory[[#This Row],[res_pct]]</f>
        <v>163190.43196300001</v>
      </c>
      <c r="BQ505" s="8">
        <f>Granger_Inventory[[#This Row],[land_value]]</f>
        <v>43394.763527310708</v>
      </c>
      <c r="BR505" s="4">
        <f>_xlfn.IFNA(VLOOKUP(Granger_Inventory[[#This Row],[quality]],Lookups!$A$25:$C$35,3,FALSE),1)</f>
        <v>0.98258795897788032</v>
      </c>
      <c r="BS505" s="4">
        <f>_xlfn.IFNA(VLOOKUP(Granger_Inventory[[#This Row],[condition]],Lookups!$A$38:$C$45,3,FALSE),1)</f>
        <v>0.92294678898076177</v>
      </c>
      <c r="BT505" s="4">
        <f>IF(Granger_Inventory[[#This Row],[decade]]="",1,_xlfn.IFNA(VLOOKUP(Granger_Inventory[[#This Row],[decade]],Lookups!$G$28:$I$42,3,FALSE),1))</f>
        <v>1.2441094871772171</v>
      </c>
      <c r="BU505" s="4">
        <f>_xlfn.IFNA(VLOOKUP(Granger_Inventory[[#This Row],[living_area_range]],Lookups!$A$48:$C$57,3,FALSE),1)</f>
        <v>0.97960506760539345</v>
      </c>
      <c r="BV505" s="4">
        <f>AVERAGE(Granger_Inventory[[#This Row],[qual_adj]:[living_range_adj]])</f>
        <v>1.0323123256853131</v>
      </c>
      <c r="BW505" s="8">
        <f>(Granger_Inventory[[#This Row],[sum_land]]-IF(Granger_Inventory[[#This Row],[no_utilities]]=1,12000,0))/IF(Granger_Inventory[[#This Row],[unbuildable]]=1,2,1)</f>
        <v>43394.763527310708</v>
      </c>
      <c r="BX505" s="8">
        <f>Granger_Inventory[[#This Row],[pre_res]]*Granger_Inventory[[#This Row],[overall_adj]]</f>
        <v>168463.49434931538</v>
      </c>
      <c r="BY505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505">
        <f>ROUND(Granger_Inventory[[#This Row],[detatched_value]]*Lookups!$I$45,-2)</f>
        <v>0</v>
      </c>
      <c r="CA505">
        <f>IF(ROUND(Granger_Inventory[[#This Row],[adj_res]]*Lookups!$I$45,-2)&lt;Granger_Inventory[[#This Row],[min_res]],Granger_Inventory[[#This Row],[min_res]],ROUND(Granger_Inventory[[#This Row],[adj_res]]*Lookups!$I$45,-2))</f>
        <v>160000</v>
      </c>
      <c r="CB505">
        <f>Granger_Inventory[[#This Row],[final_det]]+Granger_Inventory[[#This Row],[final_res]]</f>
        <v>160000</v>
      </c>
      <c r="CC505">
        <f>Granger_Inventory[[#This Row],[final_land]]+Granger_Inventory[[#This Row],[final_imp]]+Granger_Inventory[[#This Row],[crop_value]]</f>
        <v>201200</v>
      </c>
      <c r="CE505" t="str">
        <f t="shared" si="7"/>
        <v>update valuation set market_land =41200, market_bldg=160000, market_total =201200, market_mdno =402, market_date ='9/10/2023' where link_id = (select link_id from parcel where parcel_year = '2024' and parcel_id = '21102121478');</v>
      </c>
    </row>
    <row r="506" spans="1:83" x14ac:dyDescent="0.25">
      <c r="A506">
        <v>21102121479</v>
      </c>
      <c r="B506">
        <v>0.28999999999999998</v>
      </c>
      <c r="C506">
        <v>12521</v>
      </c>
      <c r="D506" t="s">
        <v>137</v>
      </c>
      <c r="E506" t="s">
        <v>54</v>
      </c>
      <c r="F506" t="s">
        <v>54</v>
      </c>
      <c r="G506">
        <v>3</v>
      </c>
      <c r="H506" t="s">
        <v>55</v>
      </c>
      <c r="I506">
        <v>366400</v>
      </c>
      <c r="J506">
        <v>30200</v>
      </c>
      <c r="K506">
        <v>0.28999999999999998</v>
      </c>
      <c r="L506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506">
        <v>0</v>
      </c>
      <c r="N506">
        <v>0</v>
      </c>
      <c r="O506">
        <v>0</v>
      </c>
      <c r="P506">
        <v>47108.068500000001</v>
      </c>
      <c r="Q506">
        <v>122298</v>
      </c>
      <c r="R506">
        <f>(Granger_Inventory[[#This Row],[ln_acres]]*Granger_Inventory[[#This Row],[coeff]])+Granger_Inventory[[#This Row],[const]]</f>
        <v>63984.130043082419</v>
      </c>
      <c r="S506" t="s">
        <v>56</v>
      </c>
      <c r="T506">
        <v>1</v>
      </c>
      <c r="U506" t="s">
        <v>61</v>
      </c>
      <c r="V506" t="s">
        <v>77</v>
      </c>
      <c r="W506">
        <v>0</v>
      </c>
      <c r="X506">
        <v>0</v>
      </c>
      <c r="Y506">
        <v>48</v>
      </c>
      <c r="Z506">
        <v>63</v>
      </c>
      <c r="AA506">
        <v>70</v>
      </c>
      <c r="AB506">
        <v>3000</v>
      </c>
      <c r="AC506">
        <v>2922</v>
      </c>
      <c r="AD506">
        <v>2922</v>
      </c>
      <c r="AE506">
        <v>0</v>
      </c>
      <c r="AF506">
        <v>0</v>
      </c>
      <c r="AG506">
        <v>0</v>
      </c>
      <c r="AH506">
        <v>0</v>
      </c>
      <c r="AI506">
        <v>624</v>
      </c>
      <c r="AJ506">
        <v>0</v>
      </c>
      <c r="AK506">
        <v>0</v>
      </c>
      <c r="AL506">
        <v>619</v>
      </c>
      <c r="AM506">
        <v>720</v>
      </c>
      <c r="AN506">
        <v>68</v>
      </c>
      <c r="AO506">
        <v>619</v>
      </c>
      <c r="AP506">
        <v>12</v>
      </c>
      <c r="AQ506">
        <v>0</v>
      </c>
      <c r="AR506">
        <v>1</v>
      </c>
      <c r="AS506" t="s">
        <v>59</v>
      </c>
      <c r="AT506">
        <v>1</v>
      </c>
      <c r="AU506" t="s">
        <v>60</v>
      </c>
      <c r="AV506" t="s">
        <v>61</v>
      </c>
      <c r="AW506">
        <v>1</v>
      </c>
      <c r="AX506">
        <v>3</v>
      </c>
      <c r="AY506">
        <v>0</v>
      </c>
      <c r="AZ506">
        <v>26700</v>
      </c>
      <c r="BA506">
        <v>100</v>
      </c>
      <c r="BB506">
        <v>100</v>
      </c>
      <c r="BC506">
        <v>100</v>
      </c>
      <c r="BD506">
        <v>100</v>
      </c>
      <c r="BE506">
        <v>1</v>
      </c>
      <c r="BF506">
        <v>15000</v>
      </c>
      <c r="BG506">
        <v>1000</v>
      </c>
      <c r="BH506" s="8">
        <f>Granger_Inventory[[#This Row],[land_extract]]*Lookups!$B$3</f>
        <v>38117.316977869523</v>
      </c>
      <c r="BI506" s="8">
        <f>IF(Granger_Inventory[[#This Row],[bldg_style]]="",0,Lookups!$B$2)</f>
        <v>29703.559000000001</v>
      </c>
      <c r="BJ506" s="8">
        <f>_xlfn.IFNA(VLOOKUP(Granger_Inventory[[#This Row],[quality]],Lookups!$H$2:$J$14,3,FALSE),0)</f>
        <v>71767</v>
      </c>
      <c r="BK506" s="8">
        <f>_xlfn.IFNA(VLOOKUP(Granger_Inventory[[#This Row],[condition]],Lookups!$H$17:$J$24,3,FALSE),0)</f>
        <v>33736</v>
      </c>
      <c r="BL506" s="8">
        <f>Granger_Inventory[[#This Row],[Age]]*Lookups!$B$16</f>
        <v>-13061.8593</v>
      </c>
      <c r="BM506" s="8">
        <f>Granger_Inventory[[#This Row],[living_area]]*Lookups!$B$17</f>
        <v>196571.44009799999</v>
      </c>
      <c r="BN506" s="8">
        <f>(Granger_Inventory[[#This Row],[att_gar]]+Granger_Inventory[[#This Row],[blt_gar]])*Lookups!$B$18</f>
        <v>30231.293664000001</v>
      </c>
      <c r="BO506" s="8">
        <f>Granger_Inventory[[#This Row],[Patio]]*Lookups!$B$19</f>
        <v>39106.869119999996</v>
      </c>
      <c r="BP506" s="8">
        <f>SUM(Granger_Inventory[[#This Row],[Intercept]:[Patio_Value]])*Granger_Inventory[[#This Row],[res_pct]]</f>
        <v>388054.30258199997</v>
      </c>
      <c r="BQ506" s="8">
        <f>Granger_Inventory[[#This Row],[land_value]]</f>
        <v>38117.316977869523</v>
      </c>
      <c r="BR506" s="4">
        <f>_xlfn.IFNA(VLOOKUP(Granger_Inventory[[#This Row],[quality]],Lookups!$A$25:$C$35,3,FALSE),1)</f>
        <v>0.992092799099482</v>
      </c>
      <c r="BS506" s="4">
        <f>_xlfn.IFNA(VLOOKUP(Granger_Inventory[[#This Row],[condition]],Lookups!$A$38:$C$45,3,FALSE),1)</f>
        <v>0.92294678898076177</v>
      </c>
      <c r="BT506" s="4">
        <f>IF(Granger_Inventory[[#This Row],[decade]]="",1,_xlfn.IFNA(VLOOKUP(Granger_Inventory[[#This Row],[decade]],Lookups!$G$28:$I$42,3,FALSE),1))</f>
        <v>1.0270382440255921</v>
      </c>
      <c r="BU506" s="4">
        <f>_xlfn.IFNA(VLOOKUP(Granger_Inventory[[#This Row],[living_area_range]],Lookups!$A$48:$C$57,3,FALSE),1)</f>
        <v>0.99995754169072248</v>
      </c>
      <c r="BV506" s="4">
        <f>AVERAGE(Granger_Inventory[[#This Row],[qual_adj]:[living_range_adj]])</f>
        <v>0.98550884344913969</v>
      </c>
      <c r="BW506" s="8">
        <f>(Granger_Inventory[[#This Row],[sum_land]]-IF(Granger_Inventory[[#This Row],[no_utilities]]=1,12000,0))/IF(Granger_Inventory[[#This Row],[unbuildable]]=1,2,1)</f>
        <v>38117.316977869523</v>
      </c>
      <c r="BX506" s="8">
        <f>Granger_Inventory[[#This Row],[pre_res]]*Granger_Inventory[[#This Row],[overall_adj]]</f>
        <v>382430.9469330493</v>
      </c>
      <c r="BY506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506">
        <f>ROUND(Granger_Inventory[[#This Row],[detatched_value]]*Lookups!$I$45,-2)</f>
        <v>25400</v>
      </c>
      <c r="CA506">
        <f>IF(ROUND(Granger_Inventory[[#This Row],[adj_res]]*Lookups!$I$45,-2)&lt;Granger_Inventory[[#This Row],[min_res]],Granger_Inventory[[#This Row],[min_res]],ROUND(Granger_Inventory[[#This Row],[adj_res]]*Lookups!$I$45,-2))</f>
        <v>363300</v>
      </c>
      <c r="CB506">
        <f>Granger_Inventory[[#This Row],[final_det]]+Granger_Inventory[[#This Row],[final_res]]</f>
        <v>388700</v>
      </c>
      <c r="CC506">
        <f>Granger_Inventory[[#This Row],[final_land]]+Granger_Inventory[[#This Row],[final_imp]]+Granger_Inventory[[#This Row],[crop_value]]</f>
        <v>424900</v>
      </c>
      <c r="CE506" t="str">
        <f t="shared" si="7"/>
        <v>update valuation set market_land =36200, market_bldg=388700, market_total =424900, market_mdno =402, market_date ='9/10/2023' where link_id = (select link_id from parcel where parcel_year = '2024' and parcel_id = '21102121479');</v>
      </c>
    </row>
    <row r="507" spans="1:83" x14ac:dyDescent="0.25">
      <c r="A507">
        <v>21102121480</v>
      </c>
      <c r="B507">
        <v>0.31</v>
      </c>
      <c r="C507">
        <v>13505</v>
      </c>
      <c r="D507" t="s">
        <v>137</v>
      </c>
      <c r="E507" t="s">
        <v>54</v>
      </c>
      <c r="F507" t="s">
        <v>54</v>
      </c>
      <c r="G507">
        <v>3</v>
      </c>
      <c r="H507" t="s">
        <v>55</v>
      </c>
      <c r="I507">
        <v>226200</v>
      </c>
      <c r="J507">
        <v>30600</v>
      </c>
      <c r="K507">
        <v>0.31</v>
      </c>
      <c r="L507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507">
        <v>0</v>
      </c>
      <c r="N507">
        <v>0</v>
      </c>
      <c r="O507">
        <v>0</v>
      </c>
      <c r="P507">
        <v>47108.068500000001</v>
      </c>
      <c r="Q507">
        <v>122298</v>
      </c>
      <c r="R507">
        <f>(Granger_Inventory[[#This Row],[ln_acres]]*Granger_Inventory[[#This Row],[coeff]])+Granger_Inventory[[#This Row],[const]]</f>
        <v>67125.831881325023</v>
      </c>
      <c r="S507" t="s">
        <v>59</v>
      </c>
      <c r="T507">
        <v>1</v>
      </c>
      <c r="U507" t="s">
        <v>64</v>
      </c>
      <c r="V507" t="s">
        <v>72</v>
      </c>
      <c r="W507">
        <v>0</v>
      </c>
      <c r="X507">
        <v>0</v>
      </c>
      <c r="Y507">
        <v>24</v>
      </c>
      <c r="Z507">
        <v>24</v>
      </c>
      <c r="AA507">
        <v>30</v>
      </c>
      <c r="AB507">
        <v>1500</v>
      </c>
      <c r="AC507">
        <v>1042</v>
      </c>
      <c r="AD507">
        <v>1042</v>
      </c>
      <c r="AE507">
        <v>0</v>
      </c>
      <c r="AF507">
        <v>0</v>
      </c>
      <c r="AG507">
        <v>0</v>
      </c>
      <c r="AH507">
        <v>0</v>
      </c>
      <c r="AI507">
        <v>361</v>
      </c>
      <c r="AJ507">
        <v>0</v>
      </c>
      <c r="AK507">
        <v>294</v>
      </c>
      <c r="AL507">
        <v>0</v>
      </c>
      <c r="AM507">
        <v>0</v>
      </c>
      <c r="AN507">
        <v>0</v>
      </c>
      <c r="AO507">
        <v>0</v>
      </c>
      <c r="AP507">
        <v>8</v>
      </c>
      <c r="AQ507">
        <v>1</v>
      </c>
      <c r="AR507">
        <v>0</v>
      </c>
      <c r="AS507" t="s">
        <v>59</v>
      </c>
      <c r="AT507">
        <v>1</v>
      </c>
      <c r="AU507" t="s">
        <v>76</v>
      </c>
      <c r="AV507" t="s">
        <v>65</v>
      </c>
      <c r="AW507">
        <v>0</v>
      </c>
      <c r="AX507">
        <v>3</v>
      </c>
      <c r="AY507">
        <v>0</v>
      </c>
      <c r="AZ507">
        <v>0</v>
      </c>
      <c r="BA507">
        <v>100</v>
      </c>
      <c r="BB507">
        <v>100</v>
      </c>
      <c r="BC507">
        <v>100</v>
      </c>
      <c r="BD507">
        <v>100</v>
      </c>
      <c r="BE507">
        <v>1</v>
      </c>
      <c r="BF507">
        <v>15000</v>
      </c>
      <c r="BG507">
        <v>1000</v>
      </c>
      <c r="BH507" s="8">
        <f>Granger_Inventory[[#This Row],[land_extract]]*Lookups!$B$3</f>
        <v>39988.925527327257</v>
      </c>
      <c r="BI507" s="8">
        <f>IF(Granger_Inventory[[#This Row],[bldg_style]]="",0,Lookups!$B$2)</f>
        <v>29703.559000000001</v>
      </c>
      <c r="BJ507" s="8">
        <f>_xlfn.IFNA(VLOOKUP(Granger_Inventory[[#This Row],[quality]],Lookups!$H$2:$J$14,3,FALSE),0)</f>
        <v>36568</v>
      </c>
      <c r="BK507" s="8">
        <f>_xlfn.IFNA(VLOOKUP(Granger_Inventory[[#This Row],[condition]],Lookups!$H$17:$J$24,3,FALSE),0)</f>
        <v>94106</v>
      </c>
      <c r="BL507" s="8">
        <f>Granger_Inventory[[#This Row],[Age]]*Lookups!$B$16</f>
        <v>-4975.9463999999998</v>
      </c>
      <c r="BM507" s="8">
        <f>Granger_Inventory[[#This Row],[living_area]]*Lookups!$B$17</f>
        <v>70098.371178000001</v>
      </c>
      <c r="BN507" s="8">
        <f>(Granger_Inventory[[#This Row],[att_gar]]+Granger_Inventory[[#This Row],[blt_gar]])*Lookups!$B$18</f>
        <v>17489.578546000001</v>
      </c>
      <c r="BO507" s="8">
        <f>Granger_Inventory[[#This Row],[Patio]]*Lookups!$B$19</f>
        <v>0</v>
      </c>
      <c r="BP507" s="8">
        <f>SUM(Granger_Inventory[[#This Row],[Intercept]:[Patio_Value]])*Granger_Inventory[[#This Row],[res_pct]]</f>
        <v>242989.56232400003</v>
      </c>
      <c r="BQ507" s="8">
        <f>Granger_Inventory[[#This Row],[land_value]]</f>
        <v>39988.925527327257</v>
      </c>
      <c r="BR507" s="4">
        <f>_xlfn.IFNA(VLOOKUP(Granger_Inventory[[#This Row],[quality]],Lookups!$A$25:$C$35,3,FALSE),1)</f>
        <v>0.99049976351917957</v>
      </c>
      <c r="BS507" s="4">
        <f>_xlfn.IFNA(VLOOKUP(Granger_Inventory[[#This Row],[condition]],Lookups!$A$38:$C$45,3,FALSE),1)</f>
        <v>0.98658583151544277</v>
      </c>
      <c r="BT507" s="4">
        <f>IF(Granger_Inventory[[#This Row],[decade]]="",1,_xlfn.IFNA(VLOOKUP(Granger_Inventory[[#This Row],[decade]],Lookups!$G$28:$I$42,3,FALSE),1))</f>
        <v>1.0539470644652671</v>
      </c>
      <c r="BU507" s="4">
        <f>_xlfn.IFNA(VLOOKUP(Granger_Inventory[[#This Row],[living_area_range]],Lookups!$A$48:$C$57,3,FALSE),1)</f>
        <v>0.97960506760539345</v>
      </c>
      <c r="BV507" s="4">
        <f>AVERAGE(Granger_Inventory[[#This Row],[qual_adj]:[living_range_adj]])</f>
        <v>1.0026594317763207</v>
      </c>
      <c r="BW507" s="8">
        <f>(Granger_Inventory[[#This Row],[sum_land]]-IF(Granger_Inventory[[#This Row],[no_utilities]]=1,12000,0))/IF(Granger_Inventory[[#This Row],[unbuildable]]=1,2,1)</f>
        <v>39988.925527327257</v>
      </c>
      <c r="BX507" s="8">
        <f>Granger_Inventory[[#This Row],[pre_res]]*Granger_Inventory[[#This Row],[overall_adj]]</f>
        <v>243635.77648735873</v>
      </c>
      <c r="BY507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507">
        <f>ROUND(Granger_Inventory[[#This Row],[detatched_value]]*Lookups!$I$45,-2)</f>
        <v>0</v>
      </c>
      <c r="CA507">
        <f>IF(ROUND(Granger_Inventory[[#This Row],[adj_res]]*Lookups!$I$45,-2)&lt;Granger_Inventory[[#This Row],[min_res]],Granger_Inventory[[#This Row],[min_res]],ROUND(Granger_Inventory[[#This Row],[adj_res]]*Lookups!$I$45,-2))</f>
        <v>231500</v>
      </c>
      <c r="CB507">
        <f>Granger_Inventory[[#This Row],[final_det]]+Granger_Inventory[[#This Row],[final_res]]</f>
        <v>231500</v>
      </c>
      <c r="CC507">
        <f>Granger_Inventory[[#This Row],[final_land]]+Granger_Inventory[[#This Row],[final_imp]]+Granger_Inventory[[#This Row],[crop_value]]</f>
        <v>269500</v>
      </c>
      <c r="CE507" t="str">
        <f t="shared" si="7"/>
        <v>update valuation set market_land =38000, market_bldg=231500, market_total =269500, market_mdno =402, market_date ='9/10/2023' where link_id = (select link_id from parcel where parcel_year = '2024' and parcel_id = '21102121480');</v>
      </c>
    </row>
    <row r="508" spans="1:83" x14ac:dyDescent="0.25">
      <c r="A508">
        <v>21102121481</v>
      </c>
      <c r="B508">
        <v>0.31</v>
      </c>
      <c r="C508">
        <v>13310</v>
      </c>
      <c r="D508" t="s">
        <v>137</v>
      </c>
      <c r="E508" t="s">
        <v>54</v>
      </c>
      <c r="F508" t="s">
        <v>54</v>
      </c>
      <c r="G508">
        <v>3</v>
      </c>
      <c r="H508" t="s">
        <v>55</v>
      </c>
      <c r="I508">
        <v>238900</v>
      </c>
      <c r="J508">
        <v>30600</v>
      </c>
      <c r="K508">
        <v>0.31</v>
      </c>
      <c r="L508">
        <f>IF(Granger_Inventory[[#This Row],[parcel_acres]]-Granger_Inventory[[#This Row],[non_valued_acres]] =0,0,LN(Granger_Inventory[[#This Row],[parcel_acres]]-Granger_Inventory[[#This Row],[non_valued_acres]]))</f>
        <v>-1.1711829815029451</v>
      </c>
      <c r="M508">
        <v>0</v>
      </c>
      <c r="N508">
        <v>0</v>
      </c>
      <c r="O508">
        <v>0</v>
      </c>
      <c r="P508">
        <v>47108.068500000001</v>
      </c>
      <c r="Q508">
        <v>122298</v>
      </c>
      <c r="R508">
        <f>(Granger_Inventory[[#This Row],[ln_acres]]*Granger_Inventory[[#This Row],[coeff]])+Granger_Inventory[[#This Row],[const]]</f>
        <v>67125.831881325023</v>
      </c>
      <c r="S508" t="s">
        <v>59</v>
      </c>
      <c r="T508">
        <v>1</v>
      </c>
      <c r="U508" t="s">
        <v>64</v>
      </c>
      <c r="V508" t="s">
        <v>72</v>
      </c>
      <c r="W508">
        <v>0</v>
      </c>
      <c r="X508">
        <v>0</v>
      </c>
      <c r="Y508">
        <v>27</v>
      </c>
      <c r="Z508">
        <v>27</v>
      </c>
      <c r="AA508">
        <v>30</v>
      </c>
      <c r="AB508">
        <v>1500</v>
      </c>
      <c r="AC508">
        <v>1486</v>
      </c>
      <c r="AD508">
        <v>1486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210</v>
      </c>
      <c r="AM508">
        <v>364</v>
      </c>
      <c r="AN508">
        <v>78</v>
      </c>
      <c r="AO508">
        <v>0</v>
      </c>
      <c r="AP508">
        <v>10</v>
      </c>
      <c r="AQ508">
        <v>0</v>
      </c>
      <c r="AR508">
        <v>0</v>
      </c>
      <c r="AS508" t="s">
        <v>59</v>
      </c>
      <c r="AT508">
        <v>1</v>
      </c>
      <c r="AU508" t="s">
        <v>60</v>
      </c>
      <c r="AV508" t="s">
        <v>61</v>
      </c>
      <c r="AW508">
        <v>1</v>
      </c>
      <c r="AX508">
        <v>3</v>
      </c>
      <c r="AY508">
        <v>0</v>
      </c>
      <c r="AZ508">
        <v>4100</v>
      </c>
      <c r="BA508">
        <v>100</v>
      </c>
      <c r="BB508">
        <v>100</v>
      </c>
      <c r="BC508">
        <v>100</v>
      </c>
      <c r="BD508">
        <v>100</v>
      </c>
      <c r="BE508">
        <v>1</v>
      </c>
      <c r="BF508">
        <v>15000</v>
      </c>
      <c r="BG508">
        <v>1000</v>
      </c>
      <c r="BH508" s="8">
        <f>Granger_Inventory[[#This Row],[land_extract]]*Lookups!$B$3</f>
        <v>39988.925527327257</v>
      </c>
      <c r="BI508" s="8">
        <f>IF(Granger_Inventory[[#This Row],[bldg_style]]="",0,Lookups!$B$2)</f>
        <v>29703.559000000001</v>
      </c>
      <c r="BJ508" s="8">
        <f>_xlfn.IFNA(VLOOKUP(Granger_Inventory[[#This Row],[quality]],Lookups!$H$2:$J$14,3,FALSE),0)</f>
        <v>36568</v>
      </c>
      <c r="BK508" s="8">
        <f>_xlfn.IFNA(VLOOKUP(Granger_Inventory[[#This Row],[condition]],Lookups!$H$17:$J$24,3,FALSE),0)</f>
        <v>94106</v>
      </c>
      <c r="BL508" s="8">
        <f>Granger_Inventory[[#This Row],[Age]]*Lookups!$B$16</f>
        <v>-5597.9396999999999</v>
      </c>
      <c r="BM508" s="8">
        <f>Granger_Inventory[[#This Row],[living_area]]*Lookups!$B$17</f>
        <v>99967.542774000001</v>
      </c>
      <c r="BN508" s="8">
        <f>(Granger_Inventory[[#This Row],[att_gar]]+Granger_Inventory[[#This Row],[blt_gar]])*Lookups!$B$18</f>
        <v>0</v>
      </c>
      <c r="BO508" s="8">
        <f>Granger_Inventory[[#This Row],[Patio]]*Lookups!$B$19</f>
        <v>19770.694943999999</v>
      </c>
      <c r="BP508" s="8">
        <f>SUM(Granger_Inventory[[#This Row],[Intercept]:[Patio_Value]])*Granger_Inventory[[#This Row],[res_pct]]</f>
        <v>274517.85701800004</v>
      </c>
      <c r="BQ508" s="8">
        <f>Granger_Inventory[[#This Row],[land_value]]</f>
        <v>39988.925527327257</v>
      </c>
      <c r="BR508" s="4">
        <f>_xlfn.IFNA(VLOOKUP(Granger_Inventory[[#This Row],[quality]],Lookups!$A$25:$C$35,3,FALSE),1)</f>
        <v>0.99049976351917957</v>
      </c>
      <c r="BS508" s="4">
        <f>_xlfn.IFNA(VLOOKUP(Granger_Inventory[[#This Row],[condition]],Lookups!$A$38:$C$45,3,FALSE),1)</f>
        <v>0.98658583151544277</v>
      </c>
      <c r="BT508" s="4">
        <f>IF(Granger_Inventory[[#This Row],[decade]]="",1,_xlfn.IFNA(VLOOKUP(Granger_Inventory[[#This Row],[decade]],Lookups!$G$28:$I$42,3,FALSE),1))</f>
        <v>1.0539470644652671</v>
      </c>
      <c r="BU508" s="4">
        <f>_xlfn.IFNA(VLOOKUP(Granger_Inventory[[#This Row],[living_area_range]],Lookups!$A$48:$C$57,3,FALSE),1)</f>
        <v>0.97960506760539345</v>
      </c>
      <c r="BV508" s="4">
        <f>AVERAGE(Granger_Inventory[[#This Row],[qual_adj]:[living_range_adj]])</f>
        <v>1.0026594317763207</v>
      </c>
      <c r="BW508" s="8">
        <f>(Granger_Inventory[[#This Row],[sum_land]]-IF(Granger_Inventory[[#This Row],[no_utilities]]=1,12000,0))/IF(Granger_Inventory[[#This Row],[unbuildable]]=1,2,1)</f>
        <v>39988.925527327257</v>
      </c>
      <c r="BX508" s="8">
        <f>Granger_Inventory[[#This Row],[pre_res]]*Granger_Inventory[[#This Row],[overall_adj]]</f>
        <v>275247.91853012115</v>
      </c>
      <c r="BY508">
        <f>IF(ROUND(Granger_Inventory[[#This Row],[adj_land]]*Lookups!$I$45,-2)&lt;Granger_Inventory[[#This Row],[min_land]],Granger_Inventory[[#This Row],[min_land]],ROUND(Granger_Inventory[[#This Row],[adj_land]]*Lookups!$I$45,-2))</f>
        <v>38000</v>
      </c>
      <c r="BZ508">
        <f>ROUND(Granger_Inventory[[#This Row],[detatched_value]]*Lookups!$I$45,-2)</f>
        <v>3900</v>
      </c>
      <c r="CA508">
        <f>IF(ROUND(Granger_Inventory[[#This Row],[adj_res]]*Lookups!$I$45,-2)&lt;Granger_Inventory[[#This Row],[min_res]],Granger_Inventory[[#This Row],[min_res]],ROUND(Granger_Inventory[[#This Row],[adj_res]]*Lookups!$I$45,-2))</f>
        <v>261500</v>
      </c>
      <c r="CB508">
        <f>Granger_Inventory[[#This Row],[final_det]]+Granger_Inventory[[#This Row],[final_res]]</f>
        <v>265400</v>
      </c>
      <c r="CC508">
        <f>Granger_Inventory[[#This Row],[final_land]]+Granger_Inventory[[#This Row],[final_imp]]+Granger_Inventory[[#This Row],[crop_value]]</f>
        <v>303400</v>
      </c>
      <c r="CE508" t="str">
        <f t="shared" si="7"/>
        <v>update valuation set market_land =38000, market_bldg=265400, market_total =303400, market_mdno =402, market_date ='9/10/2023' where link_id = (select link_id from parcel where parcel_year = '2024' and parcel_id = '21102121481');</v>
      </c>
    </row>
    <row r="509" spans="1:83" x14ac:dyDescent="0.25">
      <c r="A509">
        <v>21102121500</v>
      </c>
      <c r="B509">
        <v>0.32</v>
      </c>
      <c r="C509">
        <v>14019</v>
      </c>
      <c r="D509" t="s">
        <v>137</v>
      </c>
      <c r="E509" t="s">
        <v>54</v>
      </c>
      <c r="F509" t="s">
        <v>54</v>
      </c>
      <c r="G509">
        <v>3</v>
      </c>
      <c r="H509" t="s">
        <v>55</v>
      </c>
      <c r="I509">
        <v>291000</v>
      </c>
      <c r="J509">
        <v>30800</v>
      </c>
      <c r="K509">
        <v>0.32</v>
      </c>
      <c r="L509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509">
        <v>0</v>
      </c>
      <c r="N509">
        <v>0</v>
      </c>
      <c r="O509">
        <v>0</v>
      </c>
      <c r="P509">
        <v>47108.068500000001</v>
      </c>
      <c r="Q509">
        <v>122298</v>
      </c>
      <c r="R509">
        <f>(Granger_Inventory[[#This Row],[ln_acres]]*Granger_Inventory[[#This Row],[coeff]])+Granger_Inventory[[#This Row],[const]]</f>
        <v>68621.451736314106</v>
      </c>
      <c r="S509" t="s">
        <v>56</v>
      </c>
      <c r="T509">
        <v>1</v>
      </c>
      <c r="U509" t="s">
        <v>64</v>
      </c>
      <c r="V509" t="s">
        <v>72</v>
      </c>
      <c r="W509">
        <v>0</v>
      </c>
      <c r="X509">
        <v>0</v>
      </c>
      <c r="Y509">
        <v>34</v>
      </c>
      <c r="Z509">
        <v>34</v>
      </c>
      <c r="AA509">
        <v>40</v>
      </c>
      <c r="AB509">
        <v>2500</v>
      </c>
      <c r="AC509">
        <v>2336</v>
      </c>
      <c r="AD509">
        <v>1661</v>
      </c>
      <c r="AE509">
        <v>0</v>
      </c>
      <c r="AF509">
        <v>0</v>
      </c>
      <c r="AG509">
        <v>675</v>
      </c>
      <c r="AH509">
        <v>125</v>
      </c>
      <c r="AI509">
        <v>0</v>
      </c>
      <c r="AJ509">
        <v>325</v>
      </c>
      <c r="AK509">
        <v>0</v>
      </c>
      <c r="AL509">
        <v>0</v>
      </c>
      <c r="AM509">
        <v>0</v>
      </c>
      <c r="AN509">
        <v>40</v>
      </c>
      <c r="AO509">
        <v>0</v>
      </c>
      <c r="AP509">
        <v>11</v>
      </c>
      <c r="AQ509">
        <v>0</v>
      </c>
      <c r="AR509">
        <v>1</v>
      </c>
      <c r="AS509" t="s">
        <v>59</v>
      </c>
      <c r="AT509">
        <v>1</v>
      </c>
      <c r="AU509" t="s">
        <v>68</v>
      </c>
      <c r="AV509" t="s">
        <v>65</v>
      </c>
      <c r="AW509">
        <v>0</v>
      </c>
      <c r="AX509">
        <v>3</v>
      </c>
      <c r="AY509">
        <v>0</v>
      </c>
      <c r="AZ509">
        <v>0</v>
      </c>
      <c r="BA509">
        <v>100</v>
      </c>
      <c r="BB509">
        <v>100</v>
      </c>
      <c r="BC509">
        <v>100</v>
      </c>
      <c r="BD509">
        <v>100</v>
      </c>
      <c r="BE509">
        <v>1</v>
      </c>
      <c r="BF509">
        <v>15000</v>
      </c>
      <c r="BG509">
        <v>1000</v>
      </c>
      <c r="BH509" s="8">
        <f>Granger_Inventory[[#This Row],[land_extract]]*Lookups!$B$3</f>
        <v>40879.912340035793</v>
      </c>
      <c r="BI509" s="8">
        <f>IF(Granger_Inventory[[#This Row],[bldg_style]]="",0,Lookups!$B$2)</f>
        <v>29703.559000000001</v>
      </c>
      <c r="BJ509" s="8">
        <f>_xlfn.IFNA(VLOOKUP(Granger_Inventory[[#This Row],[quality]],Lookups!$H$2:$J$14,3,FALSE),0)</f>
        <v>36568</v>
      </c>
      <c r="BK509" s="8">
        <f>_xlfn.IFNA(VLOOKUP(Granger_Inventory[[#This Row],[condition]],Lookups!$H$17:$J$24,3,FALSE),0)</f>
        <v>94106</v>
      </c>
      <c r="BL509" s="8">
        <f>Granger_Inventory[[#This Row],[Age]]*Lookups!$B$16</f>
        <v>-7049.2573999999995</v>
      </c>
      <c r="BM509" s="8">
        <f>Granger_Inventory[[#This Row],[living_area]]*Lookups!$B$17</f>
        <v>157149.51542399998</v>
      </c>
      <c r="BN509" s="8">
        <f>(Granger_Inventory[[#This Row],[att_gar]]+Granger_Inventory[[#This Row],[blt_gar]])*Lookups!$B$18</f>
        <v>15745.46545</v>
      </c>
      <c r="BO509" s="8">
        <f>Granger_Inventory[[#This Row],[Patio]]*Lookups!$B$19</f>
        <v>0</v>
      </c>
      <c r="BP509" s="8">
        <f>SUM(Granger_Inventory[[#This Row],[Intercept]:[Patio_Value]])*Granger_Inventory[[#This Row],[res_pct]]</f>
        <v>326223.28247400001</v>
      </c>
      <c r="BQ509" s="8">
        <f>Granger_Inventory[[#This Row],[land_value]]</f>
        <v>40879.912340035793</v>
      </c>
      <c r="BR509" s="4">
        <f>_xlfn.IFNA(VLOOKUP(Granger_Inventory[[#This Row],[quality]],Lookups!$A$25:$C$35,3,FALSE),1)</f>
        <v>0.99049976351917957</v>
      </c>
      <c r="BS509" s="4">
        <f>_xlfn.IFNA(VLOOKUP(Granger_Inventory[[#This Row],[condition]],Lookups!$A$38:$C$45,3,FALSE),1)</f>
        <v>0.98658583151544277</v>
      </c>
      <c r="BT509" s="4">
        <f>IF(Granger_Inventory[[#This Row],[decade]]="",1,_xlfn.IFNA(VLOOKUP(Granger_Inventory[[#This Row],[decade]],Lookups!$G$28:$I$42,3,FALSE),1))</f>
        <v>0.98127609555109363</v>
      </c>
      <c r="BU509" s="4">
        <f>_xlfn.IFNA(VLOOKUP(Granger_Inventory[[#This Row],[living_area_range]],Lookups!$A$48:$C$57,3,FALSE),1)</f>
        <v>1.0000039906678986</v>
      </c>
      <c r="BV509" s="4">
        <f>AVERAGE(Granger_Inventory[[#This Row],[qual_adj]:[living_range_adj]])</f>
        <v>0.98959142031340352</v>
      </c>
      <c r="BW509" s="8">
        <f>(Granger_Inventory[[#This Row],[sum_land]]-IF(Granger_Inventory[[#This Row],[no_utilities]]=1,12000,0))/IF(Granger_Inventory[[#This Row],[unbuildable]]=1,2,1)</f>
        <v>40879.912340035793</v>
      </c>
      <c r="BX509" s="8">
        <f>Granger_Inventory[[#This Row],[pre_res]]*Granger_Inventory[[#This Row],[overall_adj]]</f>
        <v>322827.76144274633</v>
      </c>
      <c r="BY509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509">
        <f>ROUND(Granger_Inventory[[#This Row],[detatched_value]]*Lookups!$I$45,-2)</f>
        <v>0</v>
      </c>
      <c r="CA509">
        <f>IF(ROUND(Granger_Inventory[[#This Row],[adj_res]]*Lookups!$I$45,-2)&lt;Granger_Inventory[[#This Row],[min_res]],Granger_Inventory[[#This Row],[min_res]],ROUND(Granger_Inventory[[#This Row],[adj_res]]*Lookups!$I$45,-2))</f>
        <v>306700</v>
      </c>
      <c r="CB509">
        <f>Granger_Inventory[[#This Row],[final_det]]+Granger_Inventory[[#This Row],[final_res]]</f>
        <v>306700</v>
      </c>
      <c r="CC509">
        <f>Granger_Inventory[[#This Row],[final_land]]+Granger_Inventory[[#This Row],[final_imp]]+Granger_Inventory[[#This Row],[crop_value]]</f>
        <v>345500</v>
      </c>
      <c r="CE509" t="str">
        <f t="shared" si="7"/>
        <v>update valuation set market_land =38800, market_bldg=306700, market_total =345500, market_mdno =402, market_date ='9/10/2023' where link_id = (select link_id from parcel where parcel_year = '2024' and parcel_id = '21102121500');</v>
      </c>
    </row>
    <row r="510" spans="1:83" x14ac:dyDescent="0.25">
      <c r="A510">
        <v>21102121502</v>
      </c>
      <c r="B510">
        <v>0.15</v>
      </c>
      <c r="C510">
        <v>6696</v>
      </c>
      <c r="D510" t="s">
        <v>137</v>
      </c>
      <c r="E510" t="s">
        <v>54</v>
      </c>
      <c r="F510" t="s">
        <v>54</v>
      </c>
      <c r="G510">
        <v>3</v>
      </c>
      <c r="H510" t="s">
        <v>55</v>
      </c>
      <c r="I510">
        <v>211200</v>
      </c>
      <c r="J510">
        <v>26300</v>
      </c>
      <c r="K510">
        <v>0.15</v>
      </c>
      <c r="L510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510">
        <v>0</v>
      </c>
      <c r="N510">
        <v>0</v>
      </c>
      <c r="O510">
        <v>0</v>
      </c>
      <c r="P510">
        <v>47108.068500000001</v>
      </c>
      <c r="Q510">
        <v>122298</v>
      </c>
      <c r="R510">
        <f>(Granger_Inventory[[#This Row],[ln_acres]]*Granger_Inventory[[#This Row],[coeff]])+Granger_Inventory[[#This Row],[const]]</f>
        <v>32928.341799276939</v>
      </c>
      <c r="S510" t="s">
        <v>69</v>
      </c>
      <c r="T510">
        <v>1</v>
      </c>
      <c r="U510" t="s">
        <v>71</v>
      </c>
      <c r="V510" t="s">
        <v>70</v>
      </c>
      <c r="W510">
        <v>0</v>
      </c>
      <c r="X510">
        <v>0</v>
      </c>
      <c r="Y510">
        <v>17</v>
      </c>
      <c r="Z510">
        <v>17</v>
      </c>
      <c r="AA510">
        <v>20</v>
      </c>
      <c r="AB510">
        <v>1500</v>
      </c>
      <c r="AC510">
        <v>1200</v>
      </c>
      <c r="AD510">
        <v>1200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8</v>
      </c>
      <c r="AQ510">
        <v>0</v>
      </c>
      <c r="AR510">
        <v>0</v>
      </c>
      <c r="AS510" t="s">
        <v>59</v>
      </c>
      <c r="AT510">
        <v>1</v>
      </c>
      <c r="AU510" t="s">
        <v>68</v>
      </c>
      <c r="AV510" t="s">
        <v>65</v>
      </c>
      <c r="AW510">
        <v>0</v>
      </c>
      <c r="AX510">
        <v>3</v>
      </c>
      <c r="AY510">
        <v>0</v>
      </c>
      <c r="AZ510">
        <v>0</v>
      </c>
      <c r="BA510">
        <v>100</v>
      </c>
      <c r="BB510">
        <v>100</v>
      </c>
      <c r="BC510">
        <v>100</v>
      </c>
      <c r="BD510">
        <v>100</v>
      </c>
      <c r="BE510">
        <v>1</v>
      </c>
      <c r="BF510">
        <v>15000</v>
      </c>
      <c r="BG510">
        <v>1000</v>
      </c>
      <c r="BH510" s="8">
        <f>Granger_Inventory[[#This Row],[land_extract]]*Lookups!$B$3</f>
        <v>19616.42740275669</v>
      </c>
      <c r="BI510" s="8">
        <f>IF(Granger_Inventory[[#This Row],[bldg_style]]="",0,Lookups!$B$2)</f>
        <v>29703.559000000001</v>
      </c>
      <c r="BJ510" s="8">
        <f>_xlfn.IFNA(VLOOKUP(Granger_Inventory[[#This Row],[quality]],Lookups!$H$2:$J$14,3,FALSE),0)</f>
        <v>34195</v>
      </c>
      <c r="BK510" s="8">
        <f>_xlfn.IFNA(VLOOKUP(Granger_Inventory[[#This Row],[condition]],Lookups!$H$17:$J$24,3,FALSE),0)</f>
        <v>80695</v>
      </c>
      <c r="BL510" s="8">
        <f>Granger_Inventory[[#This Row],[Age]]*Lookups!$B$16</f>
        <v>-3524.6286999999998</v>
      </c>
      <c r="BM510" s="8">
        <f>Granger_Inventory[[#This Row],[living_area]]*Lookups!$B$17</f>
        <v>80727.4908</v>
      </c>
      <c r="BN510" s="8">
        <f>(Granger_Inventory[[#This Row],[att_gar]]+Granger_Inventory[[#This Row],[blt_gar]])*Lookups!$B$18</f>
        <v>0</v>
      </c>
      <c r="BO510" s="8">
        <f>Granger_Inventory[[#This Row],[Patio]]*Lookups!$B$19</f>
        <v>0</v>
      </c>
      <c r="BP510" s="8">
        <f>SUM(Granger_Inventory[[#This Row],[Intercept]:[Patio_Value]])*Granger_Inventory[[#This Row],[res_pct]]</f>
        <v>221796.42110000001</v>
      </c>
      <c r="BQ510" s="8">
        <f>Granger_Inventory[[#This Row],[land_value]]</f>
        <v>19616.42740275669</v>
      </c>
      <c r="BR510" s="4">
        <f>_xlfn.IFNA(VLOOKUP(Granger_Inventory[[#This Row],[quality]],Lookups!$A$25:$C$35,3,FALSE),1)</f>
        <v>0.98258795897788032</v>
      </c>
      <c r="BS510" s="4">
        <f>_xlfn.IFNA(VLOOKUP(Granger_Inventory[[#This Row],[condition]],Lookups!$A$38:$C$45,3,FALSE),1)</f>
        <v>0.99484195314749324</v>
      </c>
      <c r="BT510" s="4">
        <f>IF(Granger_Inventory[[#This Row],[decade]]="",1,_xlfn.IFNA(VLOOKUP(Granger_Inventory[[#This Row],[decade]],Lookups!$G$28:$I$42,3,FALSE),1))</f>
        <v>1.0159161060824455</v>
      </c>
      <c r="BU510" s="4">
        <f>_xlfn.IFNA(VLOOKUP(Granger_Inventory[[#This Row],[living_area_range]],Lookups!$A$48:$C$57,3,FALSE),1)</f>
        <v>0.97960506760539345</v>
      </c>
      <c r="BV510" s="4">
        <f>AVERAGE(Granger_Inventory[[#This Row],[qual_adj]:[living_range_adj]])</f>
        <v>0.99323777145330316</v>
      </c>
      <c r="BW510" s="8">
        <f>(Granger_Inventory[[#This Row],[sum_land]]-IF(Granger_Inventory[[#This Row],[no_utilities]]=1,12000,0))/IF(Granger_Inventory[[#This Row],[unbuildable]]=1,2,1)</f>
        <v>19616.42740275669</v>
      </c>
      <c r="BX510" s="8">
        <f>Granger_Inventory[[#This Row],[pre_res]]*Granger_Inventory[[#This Row],[overall_adj]]</f>
        <v>220296.58300968239</v>
      </c>
      <c r="BY510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510">
        <f>ROUND(Granger_Inventory[[#This Row],[detatched_value]]*Lookups!$I$45,-2)</f>
        <v>0</v>
      </c>
      <c r="CA510">
        <f>IF(ROUND(Granger_Inventory[[#This Row],[adj_res]]*Lookups!$I$45,-2)&lt;Granger_Inventory[[#This Row],[min_res]],Granger_Inventory[[#This Row],[min_res]],ROUND(Granger_Inventory[[#This Row],[adj_res]]*Lookups!$I$45,-2))</f>
        <v>209300</v>
      </c>
      <c r="CB510">
        <f>Granger_Inventory[[#This Row],[final_det]]+Granger_Inventory[[#This Row],[final_res]]</f>
        <v>209300</v>
      </c>
      <c r="CC510">
        <f>Granger_Inventory[[#This Row],[final_land]]+Granger_Inventory[[#This Row],[final_imp]]+Granger_Inventory[[#This Row],[crop_value]]</f>
        <v>227900</v>
      </c>
      <c r="CE510" t="str">
        <f t="shared" si="7"/>
        <v>update valuation set market_land =18600, market_bldg=209300, market_total =227900, market_mdno =402, market_date ='9/10/2023' where link_id = (select link_id from parcel where parcel_year = '2024' and parcel_id = '21102121502');</v>
      </c>
    </row>
    <row r="511" spans="1:83" x14ac:dyDescent="0.25">
      <c r="A511">
        <v>21102121503</v>
      </c>
      <c r="B511">
        <v>0.4</v>
      </c>
      <c r="C511">
        <v>17424</v>
      </c>
      <c r="D511" t="s">
        <v>137</v>
      </c>
      <c r="E511" t="s">
        <v>54</v>
      </c>
      <c r="F511" t="s">
        <v>54</v>
      </c>
      <c r="G511">
        <v>3</v>
      </c>
      <c r="H511" t="s">
        <v>55</v>
      </c>
      <c r="I511">
        <v>102500</v>
      </c>
      <c r="J511">
        <v>32100</v>
      </c>
      <c r="K511">
        <v>0.4</v>
      </c>
      <c r="L511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511">
        <v>0</v>
      </c>
      <c r="N511">
        <v>0</v>
      </c>
      <c r="O511">
        <v>0</v>
      </c>
      <c r="P511">
        <v>47108.068500000001</v>
      </c>
      <c r="Q511">
        <v>122298</v>
      </c>
      <c r="R511">
        <f>(Granger_Inventory[[#This Row],[ln_acres]]*Granger_Inventory[[#This Row],[coeff]])+Granger_Inventory[[#This Row],[const]]</f>
        <v>79133.313436957164</v>
      </c>
      <c r="S511" t="s">
        <v>56</v>
      </c>
      <c r="T511">
        <v>1</v>
      </c>
      <c r="U511" t="s">
        <v>71</v>
      </c>
      <c r="V511" t="s">
        <v>79</v>
      </c>
      <c r="W511">
        <v>0</v>
      </c>
      <c r="X511">
        <v>0</v>
      </c>
      <c r="Y511">
        <v>41</v>
      </c>
      <c r="Z511">
        <v>41</v>
      </c>
      <c r="AA511">
        <v>50</v>
      </c>
      <c r="AB511">
        <v>1500</v>
      </c>
      <c r="AC511">
        <v>1241</v>
      </c>
      <c r="AD511">
        <v>1241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30</v>
      </c>
      <c r="AO511">
        <v>0</v>
      </c>
      <c r="AP511">
        <v>5</v>
      </c>
      <c r="AQ511">
        <v>0</v>
      </c>
      <c r="AR511">
        <v>0</v>
      </c>
      <c r="AS511" t="s">
        <v>59</v>
      </c>
      <c r="AT511">
        <v>1</v>
      </c>
      <c r="AU511" t="s">
        <v>68</v>
      </c>
      <c r="AV511" t="s">
        <v>65</v>
      </c>
      <c r="AW511">
        <v>0</v>
      </c>
      <c r="AX511">
        <v>3</v>
      </c>
      <c r="AY511">
        <v>0</v>
      </c>
      <c r="AZ511">
        <v>0</v>
      </c>
      <c r="BA511">
        <v>100</v>
      </c>
      <c r="BB511">
        <v>100</v>
      </c>
      <c r="BC511">
        <v>100</v>
      </c>
      <c r="BD511">
        <v>100</v>
      </c>
      <c r="BE511">
        <v>1</v>
      </c>
      <c r="BF511">
        <v>15000</v>
      </c>
      <c r="BG511">
        <v>1000</v>
      </c>
      <c r="BH511" s="8">
        <f>Granger_Inventory[[#This Row],[land_extract]]*Lookups!$B$3</f>
        <v>47142.152120449238</v>
      </c>
      <c r="BI511" s="8">
        <f>IF(Granger_Inventory[[#This Row],[bldg_style]]="",0,Lookups!$B$2)</f>
        <v>29703.559000000001</v>
      </c>
      <c r="BJ511" s="8">
        <f>_xlfn.IFNA(VLOOKUP(Granger_Inventory[[#This Row],[quality]],Lookups!$H$2:$J$14,3,FALSE),0)</f>
        <v>34195</v>
      </c>
      <c r="BK511" s="8">
        <f>_xlfn.IFNA(VLOOKUP(Granger_Inventory[[#This Row],[condition]],Lookups!$H$17:$J$24,3,FALSE),0)</f>
        <v>86727</v>
      </c>
      <c r="BL511" s="8">
        <f>Granger_Inventory[[#This Row],[Age]]*Lookups!$B$16</f>
        <v>-8500.5751</v>
      </c>
      <c r="BM511" s="8">
        <f>Granger_Inventory[[#This Row],[living_area]]*Lookups!$B$17</f>
        <v>83485.680068999995</v>
      </c>
      <c r="BN511" s="8">
        <f>(Granger_Inventory[[#This Row],[att_gar]]+Granger_Inventory[[#This Row],[blt_gar]])*Lookups!$B$18</f>
        <v>0</v>
      </c>
      <c r="BO511" s="8">
        <f>Granger_Inventory[[#This Row],[Patio]]*Lookups!$B$19</f>
        <v>0</v>
      </c>
      <c r="BP511" s="8">
        <f>SUM(Granger_Inventory[[#This Row],[Intercept]:[Patio_Value]])*Granger_Inventory[[#This Row],[res_pct]]</f>
        <v>225610.66396900002</v>
      </c>
      <c r="BQ511" s="8">
        <f>Granger_Inventory[[#This Row],[land_value]]</f>
        <v>47142.152120449238</v>
      </c>
      <c r="BR511" s="4">
        <f>_xlfn.IFNA(VLOOKUP(Granger_Inventory[[#This Row],[quality]],Lookups!$A$25:$C$35,3,FALSE),1)</f>
        <v>0.98258795897788032</v>
      </c>
      <c r="BS511" s="4">
        <f>_xlfn.IFNA(VLOOKUP(Granger_Inventory[[#This Row],[condition]],Lookups!$A$38:$C$45,3,FALSE),1)</f>
        <v>0.85322907131620684</v>
      </c>
      <c r="BT511" s="4">
        <f>IF(Granger_Inventory[[#This Row],[decade]]="",1,_xlfn.IFNA(VLOOKUP(Granger_Inventory[[#This Row],[decade]],Lookups!$G$28:$I$42,3,FALSE),1))</f>
        <v>1.2441094871772171</v>
      </c>
      <c r="BU511" s="4">
        <f>_xlfn.IFNA(VLOOKUP(Granger_Inventory[[#This Row],[living_area_range]],Lookups!$A$48:$C$57,3,FALSE),1)</f>
        <v>0.97960506760539345</v>
      </c>
      <c r="BV511" s="4">
        <f>AVERAGE(Granger_Inventory[[#This Row],[qual_adj]:[living_range_adj]])</f>
        <v>1.0148828962691745</v>
      </c>
      <c r="BW511" s="8">
        <f>(Granger_Inventory[[#This Row],[sum_land]]-IF(Granger_Inventory[[#This Row],[no_utilities]]=1,12000,0))/IF(Granger_Inventory[[#This Row],[unbuildable]]=1,2,1)</f>
        <v>47142.152120449238</v>
      </c>
      <c r="BX511" s="8">
        <f>Granger_Inventory[[#This Row],[pre_res]]*Granger_Inventory[[#This Row],[overall_adj]]</f>
        <v>228968.40407807022</v>
      </c>
      <c r="BY511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511">
        <f>ROUND(Granger_Inventory[[#This Row],[detatched_value]]*Lookups!$I$45,-2)</f>
        <v>0</v>
      </c>
      <c r="CA511">
        <f>IF(ROUND(Granger_Inventory[[#This Row],[adj_res]]*Lookups!$I$45,-2)&lt;Granger_Inventory[[#This Row],[min_res]],Granger_Inventory[[#This Row],[min_res]],ROUND(Granger_Inventory[[#This Row],[adj_res]]*Lookups!$I$45,-2))</f>
        <v>217500</v>
      </c>
      <c r="CB511">
        <f>Granger_Inventory[[#This Row],[final_det]]+Granger_Inventory[[#This Row],[final_res]]</f>
        <v>217500</v>
      </c>
      <c r="CC511">
        <f>Granger_Inventory[[#This Row],[final_land]]+Granger_Inventory[[#This Row],[final_imp]]+Granger_Inventory[[#This Row],[crop_value]]</f>
        <v>262300</v>
      </c>
      <c r="CE511" t="str">
        <f t="shared" si="7"/>
        <v>update valuation set market_land =44800, market_bldg=217500, market_total =262300, market_mdno =402, market_date ='9/10/2023' where link_id = (select link_id from parcel where parcel_year = '2024' and parcel_id = '21102121503');</v>
      </c>
    </row>
    <row r="512" spans="1:83" x14ac:dyDescent="0.25">
      <c r="A512">
        <v>21102121504</v>
      </c>
      <c r="B512">
        <v>0.14000000000000001</v>
      </c>
      <c r="C512">
        <v>6098</v>
      </c>
      <c r="D512" t="s">
        <v>137</v>
      </c>
      <c r="E512" t="s">
        <v>54</v>
      </c>
      <c r="F512" t="s">
        <v>54</v>
      </c>
      <c r="G512">
        <v>3</v>
      </c>
      <c r="H512" t="s">
        <v>55</v>
      </c>
      <c r="I512">
        <v>204700</v>
      </c>
      <c r="J512">
        <v>25900</v>
      </c>
      <c r="K512">
        <v>0.14000000000000001</v>
      </c>
      <c r="L51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512">
        <v>0</v>
      </c>
      <c r="N512">
        <v>0</v>
      </c>
      <c r="O512">
        <v>0</v>
      </c>
      <c r="P512">
        <v>47108.068500000001</v>
      </c>
      <c r="Q512">
        <v>122298</v>
      </c>
      <c r="R512">
        <f>(Granger_Inventory[[#This Row],[ln_acres]]*Granger_Inventory[[#This Row],[coeff]])+Granger_Inventory[[#This Row],[const]]</f>
        <v>29678.220883257934</v>
      </c>
      <c r="S512" t="s">
        <v>56</v>
      </c>
      <c r="T512">
        <v>1</v>
      </c>
      <c r="U512" t="s">
        <v>64</v>
      </c>
      <c r="V512" t="s">
        <v>70</v>
      </c>
      <c r="W512">
        <v>0</v>
      </c>
      <c r="X512">
        <v>0</v>
      </c>
      <c r="Y512">
        <v>8</v>
      </c>
      <c r="Z512">
        <v>8</v>
      </c>
      <c r="AA512">
        <v>10</v>
      </c>
      <c r="AB512">
        <v>1500</v>
      </c>
      <c r="AC512">
        <v>1134</v>
      </c>
      <c r="AD512">
        <v>1134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72</v>
      </c>
      <c r="AO512">
        <v>0</v>
      </c>
      <c r="AP512">
        <v>8</v>
      </c>
      <c r="AQ512">
        <v>0</v>
      </c>
      <c r="AR512">
        <v>0</v>
      </c>
      <c r="AS512" t="s">
        <v>59</v>
      </c>
      <c r="AT512">
        <v>1</v>
      </c>
      <c r="AU512" t="s">
        <v>60</v>
      </c>
      <c r="AV512" t="s">
        <v>65</v>
      </c>
      <c r="AW512">
        <v>1</v>
      </c>
      <c r="AX512">
        <v>3</v>
      </c>
      <c r="AY512">
        <v>0</v>
      </c>
      <c r="AZ512">
        <v>5900</v>
      </c>
      <c r="BA512">
        <v>100</v>
      </c>
      <c r="BB512">
        <v>100</v>
      </c>
      <c r="BC512">
        <v>100</v>
      </c>
      <c r="BD512">
        <v>100</v>
      </c>
      <c r="BE512">
        <v>1</v>
      </c>
      <c r="BF512">
        <v>15000</v>
      </c>
      <c r="BG512">
        <v>1000</v>
      </c>
      <c r="BH512" s="8">
        <f>Granger_Inventory[[#This Row],[land_extract]]*Lookups!$B$3</f>
        <v>17680.230269359956</v>
      </c>
      <c r="BI512" s="8">
        <f>IF(Granger_Inventory[[#This Row],[bldg_style]]="",0,Lookups!$B$2)</f>
        <v>29703.559000000001</v>
      </c>
      <c r="BJ512" s="8">
        <f>_xlfn.IFNA(VLOOKUP(Granger_Inventory[[#This Row],[quality]],Lookups!$H$2:$J$14,3,FALSE),0)</f>
        <v>36568</v>
      </c>
      <c r="BK512" s="8">
        <f>_xlfn.IFNA(VLOOKUP(Granger_Inventory[[#This Row],[condition]],Lookups!$H$17:$J$24,3,FALSE),0)</f>
        <v>80695</v>
      </c>
      <c r="BL512" s="8">
        <f>Granger_Inventory[[#This Row],[Age]]*Lookups!$B$16</f>
        <v>-1658.6487999999999</v>
      </c>
      <c r="BM512" s="8">
        <f>Granger_Inventory[[#This Row],[living_area]]*Lookups!$B$17</f>
        <v>76287.478805999999</v>
      </c>
      <c r="BN512" s="8">
        <f>(Granger_Inventory[[#This Row],[att_gar]]+Granger_Inventory[[#This Row],[blt_gar]])*Lookups!$B$18</f>
        <v>0</v>
      </c>
      <c r="BO512" s="8">
        <f>Granger_Inventory[[#This Row],[Patio]]*Lookups!$B$19</f>
        <v>0</v>
      </c>
      <c r="BP512" s="8">
        <f>SUM(Granger_Inventory[[#This Row],[Intercept]:[Patio_Value]])*Granger_Inventory[[#This Row],[res_pct]]</f>
        <v>221595.38900600001</v>
      </c>
      <c r="BQ512" s="8">
        <f>Granger_Inventory[[#This Row],[land_value]]</f>
        <v>17680.230269359956</v>
      </c>
      <c r="BR512" s="4">
        <f>_xlfn.IFNA(VLOOKUP(Granger_Inventory[[#This Row],[quality]],Lookups!$A$25:$C$35,3,FALSE),1)</f>
        <v>0.99049976351917957</v>
      </c>
      <c r="BS512" s="4">
        <f>_xlfn.IFNA(VLOOKUP(Granger_Inventory[[#This Row],[condition]],Lookups!$A$38:$C$45,3,FALSE),1)</f>
        <v>0.99484195314749324</v>
      </c>
      <c r="BT512" s="4">
        <f>IF(Granger_Inventory[[#This Row],[decade]]="",1,_xlfn.IFNA(VLOOKUP(Granger_Inventory[[#This Row],[decade]],Lookups!$G$28:$I$42,3,FALSE),1))</f>
        <v>0.95532362136731586</v>
      </c>
      <c r="BU512" s="4">
        <f>_xlfn.IFNA(VLOOKUP(Granger_Inventory[[#This Row],[living_area_range]],Lookups!$A$48:$C$57,3,FALSE),1)</f>
        <v>0.97960506760539345</v>
      </c>
      <c r="BV512" s="4">
        <f>AVERAGE(Granger_Inventory[[#This Row],[qual_adj]:[living_range_adj]])</f>
        <v>0.9800676014098455</v>
      </c>
      <c r="BW512" s="8">
        <f>(Granger_Inventory[[#This Row],[sum_land]]-IF(Granger_Inventory[[#This Row],[no_utilities]]=1,12000,0))/IF(Granger_Inventory[[#This Row],[unbuildable]]=1,2,1)</f>
        <v>17680.230269359956</v>
      </c>
      <c r="BX512" s="8">
        <f>Granger_Inventory[[#This Row],[pre_res]]*Granger_Inventory[[#This Row],[overall_adj]]</f>
        <v>217178.46138659207</v>
      </c>
      <c r="BY51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512">
        <f>ROUND(Granger_Inventory[[#This Row],[detatched_value]]*Lookups!$I$45,-2)</f>
        <v>5600</v>
      </c>
      <c r="CA512">
        <f>IF(ROUND(Granger_Inventory[[#This Row],[adj_res]]*Lookups!$I$45,-2)&lt;Granger_Inventory[[#This Row],[min_res]],Granger_Inventory[[#This Row],[min_res]],ROUND(Granger_Inventory[[#This Row],[adj_res]]*Lookups!$I$45,-2))</f>
        <v>206300</v>
      </c>
      <c r="CB512">
        <f>Granger_Inventory[[#This Row],[final_det]]+Granger_Inventory[[#This Row],[final_res]]</f>
        <v>211900</v>
      </c>
      <c r="CC512">
        <f>Granger_Inventory[[#This Row],[final_land]]+Granger_Inventory[[#This Row],[final_imp]]+Granger_Inventory[[#This Row],[crop_value]]</f>
        <v>228700</v>
      </c>
      <c r="CE512" t="str">
        <f t="shared" si="7"/>
        <v>update valuation set market_land =16800, market_bldg=211900, market_total =228700, market_mdno =402, market_date ='9/10/2023' where link_id = (select link_id from parcel where parcel_year = '2024' and parcel_id = '21102121504');</v>
      </c>
    </row>
    <row r="513" spans="1:83" x14ac:dyDescent="0.25">
      <c r="A513">
        <v>21102121505</v>
      </c>
      <c r="B513">
        <v>0.18</v>
      </c>
      <c r="C513">
        <v>7953</v>
      </c>
      <c r="D513" t="s">
        <v>137</v>
      </c>
      <c r="E513" t="s">
        <v>54</v>
      </c>
      <c r="F513" t="s">
        <v>54</v>
      </c>
      <c r="G513">
        <v>3</v>
      </c>
      <c r="H513" t="s">
        <v>55</v>
      </c>
      <c r="I513">
        <v>141500</v>
      </c>
      <c r="J513">
        <v>27400</v>
      </c>
      <c r="K513">
        <v>0.18</v>
      </c>
      <c r="L513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13">
        <v>0</v>
      </c>
      <c r="N513">
        <v>0</v>
      </c>
      <c r="O513">
        <v>0</v>
      </c>
      <c r="P513">
        <v>47108.068500000001</v>
      </c>
      <c r="Q513">
        <v>122298</v>
      </c>
      <c r="R513">
        <f>(Granger_Inventory[[#This Row],[ln_acres]]*Granger_Inventory[[#This Row],[coeff]])+Granger_Inventory[[#This Row],[const]]</f>
        <v>41517.1581857532</v>
      </c>
      <c r="S513" t="s">
        <v>69</v>
      </c>
      <c r="T513">
        <v>1</v>
      </c>
      <c r="U513" t="s">
        <v>64</v>
      </c>
      <c r="V513" t="s">
        <v>72</v>
      </c>
      <c r="W513">
        <v>0</v>
      </c>
      <c r="X513">
        <v>0</v>
      </c>
      <c r="Y513">
        <v>50</v>
      </c>
      <c r="Z513">
        <v>73</v>
      </c>
      <c r="AA513">
        <v>80</v>
      </c>
      <c r="AB513">
        <v>1000</v>
      </c>
      <c r="AC513">
        <v>962</v>
      </c>
      <c r="AD513">
        <v>962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1431</v>
      </c>
      <c r="AN513">
        <v>0</v>
      </c>
      <c r="AO513">
        <v>0</v>
      </c>
      <c r="AP513">
        <v>5</v>
      </c>
      <c r="AQ513">
        <v>0</v>
      </c>
      <c r="AR513">
        <v>1</v>
      </c>
      <c r="AS513" t="s">
        <v>59</v>
      </c>
      <c r="AT513">
        <v>1</v>
      </c>
      <c r="AU513" t="s">
        <v>63</v>
      </c>
      <c r="AV513" t="s">
        <v>65</v>
      </c>
      <c r="AW513">
        <v>1</v>
      </c>
      <c r="AX513">
        <v>2</v>
      </c>
      <c r="AY513">
        <v>0</v>
      </c>
      <c r="AZ513">
        <v>0</v>
      </c>
      <c r="BA513">
        <v>100</v>
      </c>
      <c r="BB513">
        <v>100</v>
      </c>
      <c r="BC513">
        <v>100</v>
      </c>
      <c r="BD513">
        <v>100</v>
      </c>
      <c r="BE513">
        <v>1</v>
      </c>
      <c r="BF513">
        <v>15000</v>
      </c>
      <c r="BG513">
        <v>1000</v>
      </c>
      <c r="BH513" s="8">
        <f>Granger_Inventory[[#This Row],[land_extract]]*Lookups!$B$3</f>
        <v>24733.049859725303</v>
      </c>
      <c r="BI513" s="8">
        <f>IF(Granger_Inventory[[#This Row],[bldg_style]]="",0,Lookups!$B$2)</f>
        <v>29703.559000000001</v>
      </c>
      <c r="BJ513" s="8">
        <f>_xlfn.IFNA(VLOOKUP(Granger_Inventory[[#This Row],[quality]],Lookups!$H$2:$J$14,3,FALSE),0)</f>
        <v>36568</v>
      </c>
      <c r="BK513" s="8">
        <f>_xlfn.IFNA(VLOOKUP(Granger_Inventory[[#This Row],[condition]],Lookups!$H$17:$J$24,3,FALSE),0)</f>
        <v>94106</v>
      </c>
      <c r="BL513" s="8">
        <f>Granger_Inventory[[#This Row],[Age]]*Lookups!$B$16</f>
        <v>-15135.1703</v>
      </c>
      <c r="BM513" s="8">
        <f>Granger_Inventory[[#This Row],[living_area]]*Lookups!$B$17</f>
        <v>64716.538457999995</v>
      </c>
      <c r="BN513" s="8">
        <f>(Granger_Inventory[[#This Row],[att_gar]]+Granger_Inventory[[#This Row],[blt_gar]])*Lookups!$B$18</f>
        <v>0</v>
      </c>
      <c r="BO513" s="8">
        <f>Granger_Inventory[[#This Row],[Patio]]*Lookups!$B$19</f>
        <v>77724.902375999998</v>
      </c>
      <c r="BP513" s="8">
        <f>SUM(Granger_Inventory[[#This Row],[Intercept]:[Patio_Value]])*Granger_Inventory[[#This Row],[res_pct]]</f>
        <v>287683.82953400002</v>
      </c>
      <c r="BQ513" s="8">
        <f>Granger_Inventory[[#This Row],[land_value]]</f>
        <v>24733.049859725303</v>
      </c>
      <c r="BR513" s="4">
        <f>_xlfn.IFNA(VLOOKUP(Granger_Inventory[[#This Row],[quality]],Lookups!$A$25:$C$35,3,FALSE),1)</f>
        <v>0.99049976351917957</v>
      </c>
      <c r="BS513" s="4">
        <f>_xlfn.IFNA(VLOOKUP(Granger_Inventory[[#This Row],[condition]],Lookups!$A$38:$C$45,3,FALSE),1)</f>
        <v>0.98658583151544277</v>
      </c>
      <c r="BT513" s="4">
        <f>IF(Granger_Inventory[[#This Row],[decade]]="",1,_xlfn.IFNA(VLOOKUP(Granger_Inventory[[#This Row],[decade]],Lookups!$G$28:$I$42,3,FALSE),1))</f>
        <v>0.76006056002554967</v>
      </c>
      <c r="BU513" s="4">
        <f>_xlfn.IFNA(VLOOKUP(Granger_Inventory[[#This Row],[living_area_range]],Lookups!$A$48:$C$57,3,FALSE),1)</f>
        <v>0.81272404900450645</v>
      </c>
      <c r="BV513" s="4">
        <f>AVERAGE(Granger_Inventory[[#This Row],[qual_adj]:[living_range_adj]])</f>
        <v>0.88746755101616959</v>
      </c>
      <c r="BW513" s="8">
        <f>(Granger_Inventory[[#This Row],[sum_land]]-IF(Granger_Inventory[[#This Row],[no_utilities]]=1,12000,0))/IF(Granger_Inventory[[#This Row],[unbuildable]]=1,2,1)</f>
        <v>24733.049859725303</v>
      </c>
      <c r="BX513" s="8">
        <f>Granger_Inventory[[#This Row],[pre_res]]*Granger_Inventory[[#This Row],[overall_adj]]</f>
        <v>255310.06366349218</v>
      </c>
      <c r="BY513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13">
        <f>ROUND(Granger_Inventory[[#This Row],[detatched_value]]*Lookups!$I$45,-2)</f>
        <v>0</v>
      </c>
      <c r="CA513">
        <f>IF(ROUND(Granger_Inventory[[#This Row],[adj_res]]*Lookups!$I$45,-2)&lt;Granger_Inventory[[#This Row],[min_res]],Granger_Inventory[[#This Row],[min_res]],ROUND(Granger_Inventory[[#This Row],[adj_res]]*Lookups!$I$45,-2))</f>
        <v>242500</v>
      </c>
      <c r="CB513">
        <f>Granger_Inventory[[#This Row],[final_det]]+Granger_Inventory[[#This Row],[final_res]]</f>
        <v>242500</v>
      </c>
      <c r="CC513">
        <f>Granger_Inventory[[#This Row],[final_land]]+Granger_Inventory[[#This Row],[final_imp]]+Granger_Inventory[[#This Row],[crop_value]]</f>
        <v>266000</v>
      </c>
      <c r="CE513" t="str">
        <f t="shared" si="7"/>
        <v>update valuation set market_land =23500, market_bldg=242500, market_total =266000, market_mdno =402, market_date ='9/10/2023' where link_id = (select link_id from parcel where parcel_year = '2024' and parcel_id = '21102121505');</v>
      </c>
    </row>
    <row r="514" spans="1:83" x14ac:dyDescent="0.25">
      <c r="A514">
        <v>21102124400</v>
      </c>
      <c r="B514">
        <v>0.78</v>
      </c>
      <c r="C514">
        <v>33768</v>
      </c>
      <c r="D514" t="s">
        <v>137</v>
      </c>
      <c r="E514" t="s">
        <v>54</v>
      </c>
      <c r="F514" t="s">
        <v>54</v>
      </c>
      <c r="G514">
        <v>3</v>
      </c>
      <c r="H514" t="s">
        <v>55</v>
      </c>
      <c r="I514">
        <v>216700</v>
      </c>
      <c r="J514">
        <v>36100</v>
      </c>
      <c r="K514">
        <v>0.78</v>
      </c>
      <c r="L514">
        <f>IF(Granger_Inventory[[#This Row],[parcel_acres]]-Granger_Inventory[[#This Row],[non_valued_acres]] =0,0,LN(Granger_Inventory[[#This Row],[parcel_acres]]-Granger_Inventory[[#This Row],[non_valued_acres]]))</f>
        <v>-0.24846135929849961</v>
      </c>
      <c r="M514">
        <v>0</v>
      </c>
      <c r="N514">
        <v>0</v>
      </c>
      <c r="O514">
        <v>0</v>
      </c>
      <c r="P514">
        <v>47108.068500000001</v>
      </c>
      <c r="Q514">
        <v>122298</v>
      </c>
      <c r="R514">
        <f>(Granger_Inventory[[#This Row],[ln_acres]]*Granger_Inventory[[#This Row],[coeff]])+Granger_Inventory[[#This Row],[const]]</f>
        <v>110593.46526656317</v>
      </c>
      <c r="S514" t="s">
        <v>69</v>
      </c>
      <c r="T514">
        <v>1</v>
      </c>
      <c r="U514" t="s">
        <v>71</v>
      </c>
      <c r="V514" t="s">
        <v>77</v>
      </c>
      <c r="W514">
        <v>0</v>
      </c>
      <c r="X514">
        <v>0</v>
      </c>
      <c r="Y514">
        <v>55</v>
      </c>
      <c r="Z514">
        <v>98</v>
      </c>
      <c r="AA514">
        <v>100</v>
      </c>
      <c r="AB514">
        <v>1500</v>
      </c>
      <c r="AC514">
        <v>1470</v>
      </c>
      <c r="AD514">
        <v>1470</v>
      </c>
      <c r="AE514">
        <v>0</v>
      </c>
      <c r="AF514">
        <v>0</v>
      </c>
      <c r="AG514">
        <v>0</v>
      </c>
      <c r="AH514">
        <v>0</v>
      </c>
      <c r="AI514">
        <v>1038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8</v>
      </c>
      <c r="AQ514">
        <v>0</v>
      </c>
      <c r="AR514">
        <v>0</v>
      </c>
      <c r="AS514" t="s">
        <v>81</v>
      </c>
      <c r="AT514">
        <v>1</v>
      </c>
      <c r="AU514" t="s">
        <v>68</v>
      </c>
      <c r="AV514" t="s">
        <v>65</v>
      </c>
      <c r="AW514">
        <v>0</v>
      </c>
      <c r="AX514">
        <v>3</v>
      </c>
      <c r="AY514">
        <v>0</v>
      </c>
      <c r="AZ514">
        <v>0</v>
      </c>
      <c r="BA514">
        <v>100</v>
      </c>
      <c r="BB514">
        <v>100</v>
      </c>
      <c r="BC514">
        <v>100</v>
      </c>
      <c r="BD514">
        <v>100</v>
      </c>
      <c r="BE514">
        <v>1</v>
      </c>
      <c r="BF514">
        <v>15000</v>
      </c>
      <c r="BG514">
        <v>1000</v>
      </c>
      <c r="BH514" s="8">
        <f>Granger_Inventory[[#This Row],[land_extract]]*Lookups!$B$3</f>
        <v>65883.933538021898</v>
      </c>
      <c r="BI514" s="8">
        <f>IF(Granger_Inventory[[#This Row],[bldg_style]]="",0,Lookups!$B$2)</f>
        <v>29703.559000000001</v>
      </c>
      <c r="BJ514" s="8">
        <f>_xlfn.IFNA(VLOOKUP(Granger_Inventory[[#This Row],[quality]],Lookups!$H$2:$J$14,3,FALSE),0)</f>
        <v>34195</v>
      </c>
      <c r="BK514" s="8">
        <f>_xlfn.IFNA(VLOOKUP(Granger_Inventory[[#This Row],[condition]],Lookups!$H$17:$J$24,3,FALSE),0)</f>
        <v>33736</v>
      </c>
      <c r="BL514" s="8">
        <f>Granger_Inventory[[#This Row],[Age]]*Lookups!$B$16</f>
        <v>-20318.447799999998</v>
      </c>
      <c r="BM514" s="8">
        <f>Granger_Inventory[[#This Row],[living_area]]*Lookups!$B$17</f>
        <v>98891.176229999997</v>
      </c>
      <c r="BN514" s="8">
        <f>(Granger_Inventory[[#This Row],[att_gar]]+Granger_Inventory[[#This Row],[blt_gar]])*Lookups!$B$18</f>
        <v>50288.594268000001</v>
      </c>
      <c r="BO514" s="8">
        <f>Granger_Inventory[[#This Row],[Patio]]*Lookups!$B$19</f>
        <v>0</v>
      </c>
      <c r="BP514" s="8">
        <f>SUM(Granger_Inventory[[#This Row],[Intercept]:[Patio_Value]])*Granger_Inventory[[#This Row],[res_pct]]</f>
        <v>226495.88169800001</v>
      </c>
      <c r="BQ514" s="8">
        <f>Granger_Inventory[[#This Row],[land_value]]</f>
        <v>65883.933538021898</v>
      </c>
      <c r="BR514" s="4">
        <f>_xlfn.IFNA(VLOOKUP(Granger_Inventory[[#This Row],[quality]],Lookups!$A$25:$C$35,3,FALSE),1)</f>
        <v>0.98258795897788032</v>
      </c>
      <c r="BS514" s="4">
        <f>_xlfn.IFNA(VLOOKUP(Granger_Inventory[[#This Row],[condition]],Lookups!$A$38:$C$45,3,FALSE),1)</f>
        <v>0.92294678898076177</v>
      </c>
      <c r="BT514" s="4">
        <f>IF(Granger_Inventory[[#This Row],[decade]]="",1,_xlfn.IFNA(VLOOKUP(Granger_Inventory[[#This Row],[decade]],Lookups!$G$28:$I$42,3,FALSE),1))</f>
        <v>0.879441629375324</v>
      </c>
      <c r="BU514" s="4">
        <f>_xlfn.IFNA(VLOOKUP(Granger_Inventory[[#This Row],[living_area_range]],Lookups!$A$48:$C$57,3,FALSE),1)</f>
        <v>0.97960506760539345</v>
      </c>
      <c r="BV514" s="4">
        <f>AVERAGE(Granger_Inventory[[#This Row],[qual_adj]:[living_range_adj]])</f>
        <v>0.94114536123483994</v>
      </c>
      <c r="BW514" s="8">
        <f>(Granger_Inventory[[#This Row],[sum_land]]-IF(Granger_Inventory[[#This Row],[no_utilities]]=1,12000,0))/IF(Granger_Inventory[[#This Row],[unbuildable]]=1,2,1)</f>
        <v>65883.933538021898</v>
      </c>
      <c r="BX514" s="8">
        <f>Granger_Inventory[[#This Row],[pre_res]]*Granger_Inventory[[#This Row],[overall_adj]]</f>
        <v>213165.5483988678</v>
      </c>
      <c r="BY514">
        <f>IF(ROUND(Granger_Inventory[[#This Row],[adj_land]]*Lookups!$I$45,-2)&lt;Granger_Inventory[[#This Row],[min_land]],Granger_Inventory[[#This Row],[min_land]],ROUND(Granger_Inventory[[#This Row],[adj_land]]*Lookups!$I$45,-2))</f>
        <v>62600</v>
      </c>
      <c r="BZ514">
        <f>ROUND(Granger_Inventory[[#This Row],[detatched_value]]*Lookups!$I$45,-2)</f>
        <v>0</v>
      </c>
      <c r="CA514">
        <f>IF(ROUND(Granger_Inventory[[#This Row],[adj_res]]*Lookups!$I$45,-2)&lt;Granger_Inventory[[#This Row],[min_res]],Granger_Inventory[[#This Row],[min_res]],ROUND(Granger_Inventory[[#This Row],[adj_res]]*Lookups!$I$45,-2))</f>
        <v>202500</v>
      </c>
      <c r="CB514">
        <f>Granger_Inventory[[#This Row],[final_det]]+Granger_Inventory[[#This Row],[final_res]]</f>
        <v>202500</v>
      </c>
      <c r="CC514">
        <f>Granger_Inventory[[#This Row],[final_land]]+Granger_Inventory[[#This Row],[final_imp]]+Granger_Inventory[[#This Row],[crop_value]]</f>
        <v>265100</v>
      </c>
      <c r="CE514" t="str">
        <f t="shared" ref="CE514:CE577" si="8">"update valuation set market_land ="&amp;BY514&amp;", market_bldg="&amp;CB514&amp;", market_total ="&amp;CC514&amp;", market_mdno ="&amp;$CE$1&amp;", market_date ='"&amp;TEXT($CF$1,"m/d/yyyy")&amp;"' where link_id = (select link_id from parcel where parcel_year = '2024' and parcel_id = '"&amp;A514&amp;"');"</f>
        <v>update valuation set market_land =62600, market_bldg=202500, market_total =265100, market_mdno =402, market_date ='9/10/2023' where link_id = (select link_id from parcel where parcel_year = '2024' and parcel_id = '21102124400');</v>
      </c>
    </row>
    <row r="515" spans="1:83" x14ac:dyDescent="0.25">
      <c r="A515">
        <v>21102124401</v>
      </c>
      <c r="B515">
        <v>0.73</v>
      </c>
      <c r="C515">
        <v>31829</v>
      </c>
      <c r="D515" t="s">
        <v>137</v>
      </c>
      <c r="E515" t="s">
        <v>54</v>
      </c>
      <c r="F515" t="s">
        <v>54</v>
      </c>
      <c r="G515">
        <v>3</v>
      </c>
      <c r="H515" t="s">
        <v>55</v>
      </c>
      <c r="I515">
        <v>149500</v>
      </c>
      <c r="J515">
        <v>35700</v>
      </c>
      <c r="K515">
        <v>0.73</v>
      </c>
      <c r="L515">
        <f>IF(Granger_Inventory[[#This Row],[parcel_acres]]-Granger_Inventory[[#This Row],[non_valued_acres]] =0,0,LN(Granger_Inventory[[#This Row],[parcel_acres]]-Granger_Inventory[[#This Row],[non_valued_acres]]))</f>
        <v>-0.31471074483970024</v>
      </c>
      <c r="M515">
        <v>0</v>
      </c>
      <c r="N515">
        <v>0</v>
      </c>
      <c r="O515">
        <v>0</v>
      </c>
      <c r="P515">
        <v>47108.068500000001</v>
      </c>
      <c r="Q515">
        <v>122298</v>
      </c>
      <c r="R515">
        <f>(Granger_Inventory[[#This Row],[ln_acres]]*Granger_Inventory[[#This Row],[coeff]])+Granger_Inventory[[#This Row],[const]]</f>
        <v>107472.58467440539</v>
      </c>
      <c r="S515" t="s">
        <v>56</v>
      </c>
      <c r="T515">
        <v>1</v>
      </c>
      <c r="U515" t="s">
        <v>71</v>
      </c>
      <c r="V515" t="s">
        <v>77</v>
      </c>
      <c r="W515">
        <v>0</v>
      </c>
      <c r="X515">
        <v>0</v>
      </c>
      <c r="Y515">
        <v>45</v>
      </c>
      <c r="Z515">
        <v>52</v>
      </c>
      <c r="AA515">
        <v>60</v>
      </c>
      <c r="AB515">
        <v>1500</v>
      </c>
      <c r="AC515">
        <v>1450</v>
      </c>
      <c r="AD515">
        <v>1450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200</v>
      </c>
      <c r="AN515">
        <v>0</v>
      </c>
      <c r="AO515">
        <v>0</v>
      </c>
      <c r="AP515">
        <v>5</v>
      </c>
      <c r="AQ515">
        <v>1</v>
      </c>
      <c r="AR515">
        <v>0</v>
      </c>
      <c r="AS515" t="s">
        <v>81</v>
      </c>
      <c r="AT515">
        <v>1</v>
      </c>
      <c r="AU515" t="s">
        <v>60</v>
      </c>
      <c r="AV515" t="s">
        <v>61</v>
      </c>
      <c r="AW515">
        <v>0</v>
      </c>
      <c r="AX515">
        <v>3</v>
      </c>
      <c r="AY515">
        <v>0</v>
      </c>
      <c r="AZ515">
        <v>23200</v>
      </c>
      <c r="BA515">
        <v>100</v>
      </c>
      <c r="BB515">
        <v>100</v>
      </c>
      <c r="BC515">
        <v>100</v>
      </c>
      <c r="BD515">
        <v>100</v>
      </c>
      <c r="BE515">
        <v>1</v>
      </c>
      <c r="BF515">
        <v>15000</v>
      </c>
      <c r="BG515">
        <v>1000</v>
      </c>
      <c r="BH515" s="8">
        <f>Granger_Inventory[[#This Row],[land_extract]]*Lookups!$B$3</f>
        <v>64024.728846151258</v>
      </c>
      <c r="BI515" s="8">
        <f>IF(Granger_Inventory[[#This Row],[bldg_style]]="",0,Lookups!$B$2)</f>
        <v>29703.559000000001</v>
      </c>
      <c r="BJ515" s="8">
        <f>_xlfn.IFNA(VLOOKUP(Granger_Inventory[[#This Row],[quality]],Lookups!$H$2:$J$14,3,FALSE),0)</f>
        <v>34195</v>
      </c>
      <c r="BK515" s="8">
        <f>_xlfn.IFNA(VLOOKUP(Granger_Inventory[[#This Row],[condition]],Lookups!$H$17:$J$24,3,FALSE),0)</f>
        <v>33736</v>
      </c>
      <c r="BL515" s="8">
        <f>Granger_Inventory[[#This Row],[Age]]*Lookups!$B$16</f>
        <v>-10781.217199999999</v>
      </c>
      <c r="BM515" s="8">
        <f>Granger_Inventory[[#This Row],[living_area]]*Lookups!$B$17</f>
        <v>97545.718049999996</v>
      </c>
      <c r="BN515" s="8">
        <f>(Granger_Inventory[[#This Row],[att_gar]]+Granger_Inventory[[#This Row],[blt_gar]])*Lookups!$B$18</f>
        <v>0</v>
      </c>
      <c r="BO515" s="8">
        <f>Granger_Inventory[[#This Row],[Patio]]*Lookups!$B$19</f>
        <v>10863.019199999999</v>
      </c>
      <c r="BP515" s="8">
        <f>SUM(Granger_Inventory[[#This Row],[Intercept]:[Patio_Value]])*Granger_Inventory[[#This Row],[res_pct]]</f>
        <v>195262.07905000003</v>
      </c>
      <c r="BQ515" s="8">
        <f>Granger_Inventory[[#This Row],[land_value]]</f>
        <v>64024.728846151258</v>
      </c>
      <c r="BR515" s="4">
        <f>_xlfn.IFNA(VLOOKUP(Granger_Inventory[[#This Row],[quality]],Lookups!$A$25:$C$35,3,FALSE),1)</f>
        <v>0.98258795897788032</v>
      </c>
      <c r="BS515" s="4">
        <f>_xlfn.IFNA(VLOOKUP(Granger_Inventory[[#This Row],[condition]],Lookups!$A$38:$C$45,3,FALSE),1)</f>
        <v>0.92294678898076177</v>
      </c>
      <c r="BT515" s="4">
        <f>IF(Granger_Inventory[[#This Row],[decade]]="",1,_xlfn.IFNA(VLOOKUP(Granger_Inventory[[#This Row],[decade]],Lookups!$G$28:$I$42,3,FALSE),1))</f>
        <v>0.86581421791274704</v>
      </c>
      <c r="BU515" s="4">
        <f>_xlfn.IFNA(VLOOKUP(Granger_Inventory[[#This Row],[living_area_range]],Lookups!$A$48:$C$57,3,FALSE),1)</f>
        <v>0.97960506760539345</v>
      </c>
      <c r="BV515" s="4">
        <f>AVERAGE(Granger_Inventory[[#This Row],[qual_adj]:[living_range_adj]])</f>
        <v>0.93773850836919559</v>
      </c>
      <c r="BW515" s="8">
        <f>(Granger_Inventory[[#This Row],[sum_land]]-IF(Granger_Inventory[[#This Row],[no_utilities]]=1,12000,0))/IF(Granger_Inventory[[#This Row],[unbuildable]]=1,2,1)</f>
        <v>64024.728846151258</v>
      </c>
      <c r="BX515" s="8">
        <f>Granger_Inventory[[#This Row],[pre_res]]*Granger_Inventory[[#This Row],[overall_adj]]</f>
        <v>183104.77074941498</v>
      </c>
      <c r="BY515">
        <f>IF(ROUND(Granger_Inventory[[#This Row],[adj_land]]*Lookups!$I$45,-2)&lt;Granger_Inventory[[#This Row],[min_land]],Granger_Inventory[[#This Row],[min_land]],ROUND(Granger_Inventory[[#This Row],[adj_land]]*Lookups!$I$45,-2))</f>
        <v>60800</v>
      </c>
      <c r="BZ515">
        <f>ROUND(Granger_Inventory[[#This Row],[detatched_value]]*Lookups!$I$45,-2)</f>
        <v>22000</v>
      </c>
      <c r="CA515">
        <f>IF(ROUND(Granger_Inventory[[#This Row],[adj_res]]*Lookups!$I$45,-2)&lt;Granger_Inventory[[#This Row],[min_res]],Granger_Inventory[[#This Row],[min_res]],ROUND(Granger_Inventory[[#This Row],[adj_res]]*Lookups!$I$45,-2))</f>
        <v>173900</v>
      </c>
      <c r="CB515">
        <f>Granger_Inventory[[#This Row],[final_det]]+Granger_Inventory[[#This Row],[final_res]]</f>
        <v>195900</v>
      </c>
      <c r="CC515">
        <f>Granger_Inventory[[#This Row],[final_land]]+Granger_Inventory[[#This Row],[final_imp]]+Granger_Inventory[[#This Row],[crop_value]]</f>
        <v>256700</v>
      </c>
      <c r="CE515" t="str">
        <f t="shared" si="8"/>
        <v>update valuation set market_land =60800, market_bldg=195900, market_total =256700, market_mdno =402, market_date ='9/10/2023' where link_id = (select link_id from parcel where parcel_year = '2024' and parcel_id = '21102124401');</v>
      </c>
    </row>
    <row r="516" spans="1:83" x14ac:dyDescent="0.25">
      <c r="A516">
        <v>21102124405</v>
      </c>
      <c r="B516">
        <v>0.61</v>
      </c>
      <c r="C516">
        <v>26493</v>
      </c>
      <c r="D516" t="s">
        <v>137</v>
      </c>
      <c r="E516" t="s">
        <v>54</v>
      </c>
      <c r="F516" t="s">
        <v>54</v>
      </c>
      <c r="G516">
        <v>3</v>
      </c>
      <c r="H516" t="s">
        <v>55</v>
      </c>
      <c r="I516">
        <v>135300</v>
      </c>
      <c r="J516">
        <v>34600</v>
      </c>
      <c r="K516">
        <v>0.61</v>
      </c>
      <c r="L516">
        <f>IF(Granger_Inventory[[#This Row],[parcel_acres]]-Granger_Inventory[[#This Row],[non_valued_acres]] =0,0,LN(Granger_Inventory[[#This Row],[parcel_acres]]-Granger_Inventory[[#This Row],[non_valued_acres]]))</f>
        <v>-0.49429632181478012</v>
      </c>
      <c r="M516">
        <v>0</v>
      </c>
      <c r="N516">
        <v>0</v>
      </c>
      <c r="O516">
        <v>0</v>
      </c>
      <c r="P516">
        <v>47108.068500000001</v>
      </c>
      <c r="Q516">
        <v>122298</v>
      </c>
      <c r="R516">
        <f>(Granger_Inventory[[#This Row],[ln_acres]]*Granger_Inventory[[#This Row],[coeff]])+Granger_Inventory[[#This Row],[const]]</f>
        <v>99012.655012651288</v>
      </c>
      <c r="S516" t="s">
        <v>69</v>
      </c>
      <c r="T516">
        <v>1</v>
      </c>
      <c r="U516" t="s">
        <v>71</v>
      </c>
      <c r="V516" t="s">
        <v>77</v>
      </c>
      <c r="W516">
        <v>0</v>
      </c>
      <c r="X516">
        <v>0</v>
      </c>
      <c r="Y516">
        <v>50</v>
      </c>
      <c r="Z516">
        <v>73</v>
      </c>
      <c r="AA516">
        <v>80</v>
      </c>
      <c r="AB516">
        <v>1500</v>
      </c>
      <c r="AC516">
        <v>1100</v>
      </c>
      <c r="AD516">
        <v>960</v>
      </c>
      <c r="AE516">
        <v>0</v>
      </c>
      <c r="AF516">
        <v>0</v>
      </c>
      <c r="AG516">
        <v>140</v>
      </c>
      <c r="AH516">
        <v>0</v>
      </c>
      <c r="AI516">
        <v>0</v>
      </c>
      <c r="AJ516">
        <v>0</v>
      </c>
      <c r="AK516">
        <v>280</v>
      </c>
      <c r="AL516">
        <v>70</v>
      </c>
      <c r="AM516">
        <v>0</v>
      </c>
      <c r="AN516">
        <v>0</v>
      </c>
      <c r="AO516">
        <v>0</v>
      </c>
      <c r="AP516">
        <v>5</v>
      </c>
      <c r="AQ516">
        <v>0</v>
      </c>
      <c r="AR516">
        <v>0</v>
      </c>
      <c r="AS516" t="s">
        <v>81</v>
      </c>
      <c r="AT516">
        <v>1</v>
      </c>
      <c r="AU516" t="s">
        <v>60</v>
      </c>
      <c r="AV516" t="s">
        <v>65</v>
      </c>
      <c r="AW516">
        <v>1</v>
      </c>
      <c r="AX516">
        <v>4</v>
      </c>
      <c r="AY516">
        <v>0</v>
      </c>
      <c r="AZ516">
        <v>0</v>
      </c>
      <c r="BA516">
        <v>100</v>
      </c>
      <c r="BB516">
        <v>100</v>
      </c>
      <c r="BC516">
        <v>100</v>
      </c>
      <c r="BD516">
        <v>100</v>
      </c>
      <c r="BE516">
        <v>1</v>
      </c>
      <c r="BF516">
        <v>15000</v>
      </c>
      <c r="BG516">
        <v>1000</v>
      </c>
      <c r="BH516" s="8">
        <f>Granger_Inventory[[#This Row],[land_extract]]*Lookups!$B$3</f>
        <v>58984.888180810762</v>
      </c>
      <c r="BI516" s="8">
        <f>IF(Granger_Inventory[[#This Row],[bldg_style]]="",0,Lookups!$B$2)</f>
        <v>29703.559000000001</v>
      </c>
      <c r="BJ516" s="8">
        <f>_xlfn.IFNA(VLOOKUP(Granger_Inventory[[#This Row],[quality]],Lookups!$H$2:$J$14,3,FALSE),0)</f>
        <v>34195</v>
      </c>
      <c r="BK516" s="8">
        <f>_xlfn.IFNA(VLOOKUP(Granger_Inventory[[#This Row],[condition]],Lookups!$H$17:$J$24,3,FALSE),0)</f>
        <v>33736</v>
      </c>
      <c r="BL516" s="8">
        <f>Granger_Inventory[[#This Row],[Age]]*Lookups!$B$16</f>
        <v>-15135.1703</v>
      </c>
      <c r="BM516" s="8">
        <f>Granger_Inventory[[#This Row],[living_area]]*Lookups!$B$17</f>
        <v>74000.199899999992</v>
      </c>
      <c r="BN516" s="8">
        <f>(Granger_Inventory[[#This Row],[att_gar]]+Granger_Inventory[[#This Row],[blt_gar]])*Lookups!$B$18</f>
        <v>0</v>
      </c>
      <c r="BO516" s="8">
        <f>Granger_Inventory[[#This Row],[Patio]]*Lookups!$B$19</f>
        <v>0</v>
      </c>
      <c r="BP516" s="8">
        <f>SUM(Granger_Inventory[[#This Row],[Intercept]:[Patio_Value]])*Granger_Inventory[[#This Row],[res_pct]]</f>
        <v>156499.58860000002</v>
      </c>
      <c r="BQ516" s="8">
        <f>Granger_Inventory[[#This Row],[land_value]]</f>
        <v>58984.888180810762</v>
      </c>
      <c r="BR516" s="4">
        <f>_xlfn.IFNA(VLOOKUP(Granger_Inventory[[#This Row],[quality]],Lookups!$A$25:$C$35,3,FALSE),1)</f>
        <v>0.98258795897788032</v>
      </c>
      <c r="BS516" s="4">
        <f>_xlfn.IFNA(VLOOKUP(Granger_Inventory[[#This Row],[condition]],Lookups!$A$38:$C$45,3,FALSE),1)</f>
        <v>0.92294678898076177</v>
      </c>
      <c r="BT516" s="4">
        <f>IF(Granger_Inventory[[#This Row],[decade]]="",1,_xlfn.IFNA(VLOOKUP(Granger_Inventory[[#This Row],[decade]],Lookups!$G$28:$I$42,3,FALSE),1))</f>
        <v>0.76006056002554967</v>
      </c>
      <c r="BU516" s="4">
        <f>_xlfn.IFNA(VLOOKUP(Granger_Inventory[[#This Row],[living_area_range]],Lookups!$A$48:$C$57,3,FALSE),1)</f>
        <v>0.97960506760539345</v>
      </c>
      <c r="BV516" s="4">
        <f>AVERAGE(Granger_Inventory[[#This Row],[qual_adj]:[living_range_adj]])</f>
        <v>0.9113000938973963</v>
      </c>
      <c r="BW516" s="8">
        <f>(Granger_Inventory[[#This Row],[sum_land]]-IF(Granger_Inventory[[#This Row],[no_utilities]]=1,12000,0))/IF(Granger_Inventory[[#This Row],[unbuildable]]=1,2,1)</f>
        <v>58984.888180810762</v>
      </c>
      <c r="BX516" s="8">
        <f>Granger_Inventory[[#This Row],[pre_res]]*Granger_Inventory[[#This Row],[overall_adj]]</f>
        <v>142618.0897860839</v>
      </c>
      <c r="BY516">
        <f>IF(ROUND(Granger_Inventory[[#This Row],[adj_land]]*Lookups!$I$45,-2)&lt;Granger_Inventory[[#This Row],[min_land]],Granger_Inventory[[#This Row],[min_land]],ROUND(Granger_Inventory[[#This Row],[adj_land]]*Lookups!$I$45,-2))</f>
        <v>56000</v>
      </c>
      <c r="BZ516">
        <f>ROUND(Granger_Inventory[[#This Row],[detatched_value]]*Lookups!$I$45,-2)</f>
        <v>0</v>
      </c>
      <c r="CA516">
        <f>IF(ROUND(Granger_Inventory[[#This Row],[adj_res]]*Lookups!$I$45,-2)&lt;Granger_Inventory[[#This Row],[min_res]],Granger_Inventory[[#This Row],[min_res]],ROUND(Granger_Inventory[[#This Row],[adj_res]]*Lookups!$I$45,-2))</f>
        <v>135500</v>
      </c>
      <c r="CB516">
        <f>Granger_Inventory[[#This Row],[final_det]]+Granger_Inventory[[#This Row],[final_res]]</f>
        <v>135500</v>
      </c>
      <c r="CC516">
        <f>Granger_Inventory[[#This Row],[final_land]]+Granger_Inventory[[#This Row],[final_imp]]+Granger_Inventory[[#This Row],[crop_value]]</f>
        <v>191500</v>
      </c>
      <c r="CE516" t="str">
        <f t="shared" si="8"/>
        <v>update valuation set market_land =56000, market_bldg=135500, market_total =191500, market_mdno =402, market_date ='9/10/2023' where link_id = (select link_id from parcel where parcel_year = '2024' and parcel_id = '21102124405');</v>
      </c>
    </row>
    <row r="517" spans="1:83" x14ac:dyDescent="0.25">
      <c r="A517">
        <v>21102124406</v>
      </c>
      <c r="B517">
        <v>1.48</v>
      </c>
      <c r="C517" t="s">
        <v>137</v>
      </c>
      <c r="D517" t="s">
        <v>137</v>
      </c>
      <c r="E517" t="s">
        <v>54</v>
      </c>
      <c r="F517" t="s">
        <v>54</v>
      </c>
      <c r="G517">
        <v>3</v>
      </c>
      <c r="H517" t="s">
        <v>55</v>
      </c>
      <c r="I517">
        <v>82400</v>
      </c>
      <c r="J517">
        <v>39900</v>
      </c>
      <c r="K517">
        <v>1.48</v>
      </c>
      <c r="L517">
        <f>IF(Granger_Inventory[[#This Row],[parcel_acres]]-Granger_Inventory[[#This Row],[non_valued_acres]] =0,0,LN(Granger_Inventory[[#This Row],[parcel_acres]]-Granger_Inventory[[#This Row],[non_valued_acres]]))</f>
        <v>0.39204208777602367</v>
      </c>
      <c r="M517">
        <v>0</v>
      </c>
      <c r="N517">
        <v>0</v>
      </c>
      <c r="O517">
        <v>0</v>
      </c>
      <c r="P517">
        <v>47108.068500000001</v>
      </c>
      <c r="Q517">
        <v>122298</v>
      </c>
      <c r="R517">
        <f>(Granger_Inventory[[#This Row],[ln_acres]]*Granger_Inventory[[#This Row],[coeff]])+Granger_Inventory[[#This Row],[const]]</f>
        <v>140766.34552583593</v>
      </c>
      <c r="S517" t="s">
        <v>69</v>
      </c>
      <c r="T517">
        <v>1</v>
      </c>
      <c r="U517" t="s">
        <v>78</v>
      </c>
      <c r="V517" t="s">
        <v>77</v>
      </c>
      <c r="W517">
        <v>0</v>
      </c>
      <c r="X517">
        <v>0</v>
      </c>
      <c r="Y517">
        <v>51</v>
      </c>
      <c r="Z517">
        <v>83</v>
      </c>
      <c r="AA517">
        <v>90</v>
      </c>
      <c r="AB517">
        <v>1000</v>
      </c>
      <c r="AC517">
        <v>952</v>
      </c>
      <c r="AD517">
        <v>952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5</v>
      </c>
      <c r="AQ517">
        <v>0</v>
      </c>
      <c r="AR517">
        <v>0</v>
      </c>
      <c r="AS517" t="s">
        <v>81</v>
      </c>
      <c r="AT517">
        <v>0</v>
      </c>
      <c r="AU517" t="s">
        <v>83</v>
      </c>
      <c r="AV517" t="s">
        <v>61</v>
      </c>
      <c r="AW517">
        <v>0</v>
      </c>
      <c r="AX517">
        <v>3</v>
      </c>
      <c r="AY517">
        <v>0</v>
      </c>
      <c r="AZ517">
        <v>0</v>
      </c>
      <c r="BA517">
        <v>100</v>
      </c>
      <c r="BB517">
        <v>100</v>
      </c>
      <c r="BC517">
        <v>100</v>
      </c>
      <c r="BD517">
        <v>100</v>
      </c>
      <c r="BE517">
        <v>1</v>
      </c>
      <c r="BF517">
        <v>15000</v>
      </c>
      <c r="BG517">
        <v>1000</v>
      </c>
      <c r="BH517" s="8">
        <f>Granger_Inventory[[#This Row],[land_extract]]*Lookups!$B$3</f>
        <v>83858.847633182668</v>
      </c>
      <c r="BI517" s="8">
        <f>IF(Granger_Inventory[[#This Row],[bldg_style]]="",0,Lookups!$B$2)</f>
        <v>29703.559000000001</v>
      </c>
      <c r="BJ517" s="8">
        <f>_xlfn.IFNA(VLOOKUP(Granger_Inventory[[#This Row],[quality]],Lookups!$H$2:$J$14,3,FALSE),0)</f>
        <v>23737.786340274597</v>
      </c>
      <c r="BK517" s="8">
        <f>_xlfn.IFNA(VLOOKUP(Granger_Inventory[[#This Row],[condition]],Lookups!$H$17:$J$24,3,FALSE),0)</f>
        <v>33736</v>
      </c>
      <c r="BL517" s="8">
        <f>Granger_Inventory[[#This Row],[Age]]*Lookups!$B$16</f>
        <v>-17208.481299999999</v>
      </c>
      <c r="BM517" s="8">
        <f>Granger_Inventory[[#This Row],[living_area]]*Lookups!$B$17</f>
        <v>64043.809368000002</v>
      </c>
      <c r="BN517" s="8">
        <f>(Granger_Inventory[[#This Row],[att_gar]]+Granger_Inventory[[#This Row],[blt_gar]])*Lookups!$B$18</f>
        <v>0</v>
      </c>
      <c r="BO517" s="8">
        <f>Granger_Inventory[[#This Row],[Patio]]*Lookups!$B$19</f>
        <v>0</v>
      </c>
      <c r="BP517" s="8">
        <f>SUM(Granger_Inventory[[#This Row],[Intercept]:[Patio_Value]])*Granger_Inventory[[#This Row],[res_pct]]</f>
        <v>134012.6734082746</v>
      </c>
      <c r="BQ517" s="8">
        <f>Granger_Inventory[[#This Row],[land_value]]</f>
        <v>83858.847633182668</v>
      </c>
      <c r="BR517" s="4">
        <f>_xlfn.IFNA(VLOOKUP(Granger_Inventory[[#This Row],[quality]],Lookups!$A$25:$C$35,3,FALSE),1)</f>
        <v>0.77695375541795109</v>
      </c>
      <c r="BS517" s="4">
        <f>_xlfn.IFNA(VLOOKUP(Granger_Inventory[[#This Row],[condition]],Lookups!$A$38:$C$45,3,FALSE),1)</f>
        <v>0.92294678898076177</v>
      </c>
      <c r="BT517" s="4">
        <f>IF(Granger_Inventory[[#This Row],[decade]]="",1,_xlfn.IFNA(VLOOKUP(Granger_Inventory[[#This Row],[decade]],Lookups!$G$28:$I$42,3,FALSE),1))</f>
        <v>0.95234610137492615</v>
      </c>
      <c r="BU517" s="4">
        <f>_xlfn.IFNA(VLOOKUP(Granger_Inventory[[#This Row],[living_area_range]],Lookups!$A$48:$C$57,3,FALSE),1)</f>
        <v>0.81272404900450645</v>
      </c>
      <c r="BV517" s="4">
        <f>AVERAGE(Granger_Inventory[[#This Row],[qual_adj]:[living_range_adj]])</f>
        <v>0.86624267369453634</v>
      </c>
      <c r="BW517" s="8">
        <f>(Granger_Inventory[[#This Row],[sum_land]]-IF(Granger_Inventory[[#This Row],[no_utilities]]=1,12000,0))/IF(Granger_Inventory[[#This Row],[unbuildable]]=1,2,1)</f>
        <v>83858.847633182668</v>
      </c>
      <c r="BX517" s="8">
        <f>Granger_Inventory[[#This Row],[pre_res]]*Granger_Inventory[[#This Row],[overall_adj]]</f>
        <v>116087.49652213648</v>
      </c>
      <c r="BY517">
        <f>IF(ROUND(Granger_Inventory[[#This Row],[adj_land]]*Lookups!$I$45,-2)&lt;Granger_Inventory[[#This Row],[min_land]],Granger_Inventory[[#This Row],[min_land]],ROUND(Granger_Inventory[[#This Row],[adj_land]]*Lookups!$I$45,-2))</f>
        <v>79700</v>
      </c>
      <c r="BZ517">
        <f>ROUND(Granger_Inventory[[#This Row],[detatched_value]]*Lookups!$I$45,-2)</f>
        <v>0</v>
      </c>
      <c r="CA517">
        <f>IF(ROUND(Granger_Inventory[[#This Row],[adj_res]]*Lookups!$I$45,-2)&lt;Granger_Inventory[[#This Row],[min_res]],Granger_Inventory[[#This Row],[min_res]],ROUND(Granger_Inventory[[#This Row],[adj_res]]*Lookups!$I$45,-2))</f>
        <v>110300</v>
      </c>
      <c r="CB517">
        <f>Granger_Inventory[[#This Row],[final_det]]+Granger_Inventory[[#This Row],[final_res]]</f>
        <v>110300</v>
      </c>
      <c r="CC517">
        <f>Granger_Inventory[[#This Row],[final_land]]+Granger_Inventory[[#This Row],[final_imp]]+Granger_Inventory[[#This Row],[crop_value]]</f>
        <v>190000</v>
      </c>
      <c r="CE517" t="str">
        <f t="shared" si="8"/>
        <v>update valuation set market_land =79700, market_bldg=110300, market_total =190000, market_mdno =402, market_date ='9/10/2023' where link_id = (select link_id from parcel where parcel_year = '2024' and parcel_id = '21102124406');</v>
      </c>
    </row>
    <row r="518" spans="1:83" x14ac:dyDescent="0.25">
      <c r="A518">
        <v>21102124407</v>
      </c>
      <c r="B518">
        <v>0.87</v>
      </c>
      <c r="C518">
        <v>37957</v>
      </c>
      <c r="D518" t="s">
        <v>137</v>
      </c>
      <c r="E518" t="s">
        <v>54</v>
      </c>
      <c r="F518" t="s">
        <v>54</v>
      </c>
      <c r="G518">
        <v>3</v>
      </c>
      <c r="H518" t="s">
        <v>55</v>
      </c>
      <c r="I518">
        <v>329600</v>
      </c>
      <c r="J518">
        <v>36800</v>
      </c>
      <c r="K518">
        <v>0.87</v>
      </c>
      <c r="L518">
        <f>IF(Granger_Inventory[[#This Row],[parcel_acres]]-Granger_Inventory[[#This Row],[non_valued_acres]] =0,0,LN(Granger_Inventory[[#This Row],[parcel_acres]]-Granger_Inventory[[#This Row],[non_valued_acres]]))</f>
        <v>-0.13926206733350766</v>
      </c>
      <c r="M518">
        <v>0</v>
      </c>
      <c r="N518">
        <v>0</v>
      </c>
      <c r="O518">
        <v>0</v>
      </c>
      <c r="P518">
        <v>47108.068500000001</v>
      </c>
      <c r="Q518">
        <v>122298</v>
      </c>
      <c r="R518">
        <f>(Granger_Inventory[[#This Row],[ln_acres]]*Granger_Inventory[[#This Row],[coeff]])+Granger_Inventory[[#This Row],[const]]</f>
        <v>115737.6329926015</v>
      </c>
      <c r="S518" t="s">
        <v>56</v>
      </c>
      <c r="T518">
        <v>1</v>
      </c>
      <c r="U518" t="s">
        <v>61</v>
      </c>
      <c r="V518" t="s">
        <v>72</v>
      </c>
      <c r="W518">
        <v>0</v>
      </c>
      <c r="X518">
        <v>0</v>
      </c>
      <c r="Y518">
        <v>49</v>
      </c>
      <c r="Z518">
        <v>68</v>
      </c>
      <c r="AA518">
        <v>70</v>
      </c>
      <c r="AB518">
        <v>3000</v>
      </c>
      <c r="AC518">
        <v>2964</v>
      </c>
      <c r="AD518">
        <v>1630</v>
      </c>
      <c r="AE518">
        <v>0</v>
      </c>
      <c r="AF518">
        <v>0</v>
      </c>
      <c r="AG518">
        <v>1334</v>
      </c>
      <c r="AH518">
        <v>157</v>
      </c>
      <c r="AI518">
        <v>384</v>
      </c>
      <c r="AJ518">
        <v>0</v>
      </c>
      <c r="AK518">
        <v>0</v>
      </c>
      <c r="AL518">
        <v>0</v>
      </c>
      <c r="AM518">
        <v>1417</v>
      </c>
      <c r="AN518">
        <v>76</v>
      </c>
      <c r="AO518">
        <v>0</v>
      </c>
      <c r="AP518">
        <v>9</v>
      </c>
      <c r="AQ518">
        <v>1</v>
      </c>
      <c r="AR518">
        <v>1</v>
      </c>
      <c r="AS518" t="s">
        <v>59</v>
      </c>
      <c r="AT518">
        <v>1</v>
      </c>
      <c r="AU518" t="s">
        <v>60</v>
      </c>
      <c r="AV518" t="s">
        <v>61</v>
      </c>
      <c r="AW518">
        <v>1</v>
      </c>
      <c r="AX518">
        <v>4</v>
      </c>
      <c r="AY518">
        <v>0</v>
      </c>
      <c r="AZ518">
        <v>0</v>
      </c>
      <c r="BA518">
        <v>100</v>
      </c>
      <c r="BB518">
        <v>100</v>
      </c>
      <c r="BC518">
        <v>100</v>
      </c>
      <c r="BD518">
        <v>100</v>
      </c>
      <c r="BE518">
        <v>1</v>
      </c>
      <c r="BF518">
        <v>15000</v>
      </c>
      <c r="BG518">
        <v>1000</v>
      </c>
      <c r="BH518" s="8">
        <f>Granger_Inventory[[#This Row],[land_extract]]*Lookups!$B$3</f>
        <v>68948.472692788884</v>
      </c>
      <c r="BI518" s="8">
        <f>IF(Granger_Inventory[[#This Row],[bldg_style]]="",0,Lookups!$B$2)</f>
        <v>29703.559000000001</v>
      </c>
      <c r="BJ518" s="8">
        <f>_xlfn.IFNA(VLOOKUP(Granger_Inventory[[#This Row],[quality]],Lookups!$H$2:$J$14,3,FALSE),0)</f>
        <v>71767</v>
      </c>
      <c r="BK518" s="8">
        <f>_xlfn.IFNA(VLOOKUP(Granger_Inventory[[#This Row],[condition]],Lookups!$H$17:$J$24,3,FALSE),0)</f>
        <v>94106</v>
      </c>
      <c r="BL518" s="8">
        <f>Granger_Inventory[[#This Row],[Age]]*Lookups!$B$16</f>
        <v>-14098.514799999999</v>
      </c>
      <c r="BM518" s="8">
        <f>Granger_Inventory[[#This Row],[living_area]]*Lookups!$B$17</f>
        <v>199396.90227600001</v>
      </c>
      <c r="BN518" s="8">
        <f>(Granger_Inventory[[#This Row],[att_gar]]+Granger_Inventory[[#This Row],[blt_gar]])*Lookups!$B$18</f>
        <v>18603.873024</v>
      </c>
      <c r="BO518" s="8">
        <f>Granger_Inventory[[#This Row],[Patio]]*Lookups!$B$19</f>
        <v>76964.491031999991</v>
      </c>
      <c r="BP518" s="8">
        <f>SUM(Granger_Inventory[[#This Row],[Intercept]:[Patio_Value]])*Granger_Inventory[[#This Row],[res_pct]]</f>
        <v>476443.31053199997</v>
      </c>
      <c r="BQ518" s="8">
        <f>Granger_Inventory[[#This Row],[land_value]]</f>
        <v>68948.472692788884</v>
      </c>
      <c r="BR518" s="4">
        <f>_xlfn.IFNA(VLOOKUP(Granger_Inventory[[#This Row],[quality]],Lookups!$A$25:$C$35,3,FALSE),1)</f>
        <v>0.992092799099482</v>
      </c>
      <c r="BS518" s="4">
        <f>_xlfn.IFNA(VLOOKUP(Granger_Inventory[[#This Row],[condition]],Lookups!$A$38:$C$45,3,FALSE),1)</f>
        <v>0.98658583151544277</v>
      </c>
      <c r="BT518" s="4">
        <f>IF(Granger_Inventory[[#This Row],[decade]]="",1,_xlfn.IFNA(VLOOKUP(Granger_Inventory[[#This Row],[decade]],Lookups!$G$28:$I$42,3,FALSE),1))</f>
        <v>1.0270382440255921</v>
      </c>
      <c r="BU518" s="4">
        <f>_xlfn.IFNA(VLOOKUP(Granger_Inventory[[#This Row],[living_area_range]],Lookups!$A$48:$C$57,3,FALSE),1)</f>
        <v>0.99995754169072248</v>
      </c>
      <c r="BV518" s="4">
        <f>AVERAGE(Granger_Inventory[[#This Row],[qual_adj]:[living_range_adj]])</f>
        <v>1.0014186040828099</v>
      </c>
      <c r="BW518" s="8">
        <f>(Granger_Inventory[[#This Row],[sum_land]]-IF(Granger_Inventory[[#This Row],[no_utilities]]=1,12000,0))/IF(Granger_Inventory[[#This Row],[unbuildable]]=1,2,1)</f>
        <v>68948.472692788884</v>
      </c>
      <c r="BX518" s="8">
        <f>Granger_Inventory[[#This Row],[pre_res]]*Granger_Inventory[[#This Row],[overall_adj]]</f>
        <v>477119.19495754817</v>
      </c>
      <c r="BY518">
        <f>IF(ROUND(Granger_Inventory[[#This Row],[adj_land]]*Lookups!$I$45,-2)&lt;Granger_Inventory[[#This Row],[min_land]],Granger_Inventory[[#This Row],[min_land]],ROUND(Granger_Inventory[[#This Row],[adj_land]]*Lookups!$I$45,-2))</f>
        <v>65500</v>
      </c>
      <c r="BZ518">
        <f>ROUND(Granger_Inventory[[#This Row],[detatched_value]]*Lookups!$I$45,-2)</f>
        <v>0</v>
      </c>
      <c r="CA518">
        <f>IF(ROUND(Granger_Inventory[[#This Row],[adj_res]]*Lookups!$I$45,-2)&lt;Granger_Inventory[[#This Row],[min_res]],Granger_Inventory[[#This Row],[min_res]],ROUND(Granger_Inventory[[#This Row],[adj_res]]*Lookups!$I$45,-2))</f>
        <v>453300</v>
      </c>
      <c r="CB518">
        <f>Granger_Inventory[[#This Row],[final_det]]+Granger_Inventory[[#This Row],[final_res]]</f>
        <v>453300</v>
      </c>
      <c r="CC518">
        <f>Granger_Inventory[[#This Row],[final_land]]+Granger_Inventory[[#This Row],[final_imp]]+Granger_Inventory[[#This Row],[crop_value]]</f>
        <v>518800</v>
      </c>
      <c r="CE518" t="str">
        <f t="shared" si="8"/>
        <v>update valuation set market_land =65500, market_bldg=453300, market_total =518800, market_mdno =402, market_date ='9/10/2023' where link_id = (select link_id from parcel where parcel_year = '2024' and parcel_id = '21102124407');</v>
      </c>
    </row>
    <row r="519" spans="1:83" x14ac:dyDescent="0.25">
      <c r="A519">
        <v>21102141400</v>
      </c>
      <c r="B519">
        <v>0.24</v>
      </c>
      <c r="C519">
        <v>10500</v>
      </c>
      <c r="D519" t="s">
        <v>137</v>
      </c>
      <c r="E519" t="s">
        <v>54</v>
      </c>
      <c r="F519" t="s">
        <v>54</v>
      </c>
      <c r="G519">
        <v>3</v>
      </c>
      <c r="H519" t="s">
        <v>55</v>
      </c>
      <c r="I519">
        <v>124100</v>
      </c>
      <c r="J519">
        <v>27200</v>
      </c>
      <c r="K519">
        <v>0.24</v>
      </c>
      <c r="L519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19">
        <v>0</v>
      </c>
      <c r="N519">
        <v>0</v>
      </c>
      <c r="O519">
        <v>0</v>
      </c>
      <c r="P519">
        <v>47108.068500000001</v>
      </c>
      <c r="Q519">
        <v>122298</v>
      </c>
      <c r="R519">
        <f>(Granger_Inventory[[#This Row],[ln_acres]]*Granger_Inventory[[#This Row],[coeff]])+Granger_Inventory[[#This Row],[const]]</f>
        <v>55069.304961033646</v>
      </c>
      <c r="S519" t="s">
        <v>56</v>
      </c>
      <c r="T519">
        <v>1</v>
      </c>
      <c r="U519" t="s">
        <v>71</v>
      </c>
      <c r="V519" t="s">
        <v>72</v>
      </c>
      <c r="W519">
        <v>0</v>
      </c>
      <c r="X519">
        <v>0</v>
      </c>
      <c r="Y519">
        <v>21</v>
      </c>
      <c r="Z519">
        <v>21</v>
      </c>
      <c r="AA519">
        <v>30</v>
      </c>
      <c r="AB519">
        <v>1000</v>
      </c>
      <c r="AC519">
        <v>960</v>
      </c>
      <c r="AD519">
        <v>960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5</v>
      </c>
      <c r="AQ519">
        <v>0</v>
      </c>
      <c r="AR519">
        <v>0</v>
      </c>
      <c r="AS519" t="s">
        <v>59</v>
      </c>
      <c r="AT519">
        <v>1</v>
      </c>
      <c r="AU519" t="s">
        <v>76</v>
      </c>
      <c r="AV519" t="s">
        <v>65</v>
      </c>
      <c r="AW519">
        <v>0</v>
      </c>
      <c r="AX519">
        <v>2</v>
      </c>
      <c r="AY519">
        <v>0</v>
      </c>
      <c r="AZ519">
        <v>0</v>
      </c>
      <c r="BA519">
        <v>100</v>
      </c>
      <c r="BB519">
        <v>100</v>
      </c>
      <c r="BC519">
        <v>100</v>
      </c>
      <c r="BD519">
        <v>100</v>
      </c>
      <c r="BE519">
        <v>1</v>
      </c>
      <c r="BF519">
        <v>15000</v>
      </c>
      <c r="BG519">
        <v>1000</v>
      </c>
      <c r="BH519" s="8">
        <f>Granger_Inventory[[#This Row],[land_extract]]*Lookups!$B$3</f>
        <v>32806.481099880541</v>
      </c>
      <c r="BI519" s="8">
        <f>IF(Granger_Inventory[[#This Row],[bldg_style]]="",0,Lookups!$B$2)</f>
        <v>29703.559000000001</v>
      </c>
      <c r="BJ519" s="8">
        <f>_xlfn.IFNA(VLOOKUP(Granger_Inventory[[#This Row],[quality]],Lookups!$H$2:$J$14,3,FALSE),0)</f>
        <v>34195</v>
      </c>
      <c r="BK519" s="8">
        <f>_xlfn.IFNA(VLOOKUP(Granger_Inventory[[#This Row],[condition]],Lookups!$H$17:$J$24,3,FALSE),0)</f>
        <v>94106</v>
      </c>
      <c r="BL519" s="8">
        <f>Granger_Inventory[[#This Row],[Age]]*Lookups!$B$16</f>
        <v>-4353.9530999999997</v>
      </c>
      <c r="BM519" s="8">
        <f>Granger_Inventory[[#This Row],[living_area]]*Lookups!$B$17</f>
        <v>64581.992639999997</v>
      </c>
      <c r="BN519" s="8">
        <f>(Granger_Inventory[[#This Row],[att_gar]]+Granger_Inventory[[#This Row],[blt_gar]])*Lookups!$B$18</f>
        <v>0</v>
      </c>
      <c r="BO519" s="8">
        <f>Granger_Inventory[[#This Row],[Patio]]*Lookups!$B$19</f>
        <v>0</v>
      </c>
      <c r="BP519" s="8">
        <f>SUM(Granger_Inventory[[#This Row],[Intercept]:[Patio_Value]])*Granger_Inventory[[#This Row],[res_pct]]</f>
        <v>218232.59853999998</v>
      </c>
      <c r="BQ519" s="8">
        <f>Granger_Inventory[[#This Row],[land_value]]</f>
        <v>32806.481099880541</v>
      </c>
      <c r="BR519" s="4">
        <f>_xlfn.IFNA(VLOOKUP(Granger_Inventory[[#This Row],[quality]],Lookups!$A$25:$C$35,3,FALSE),1)</f>
        <v>0.98258795897788032</v>
      </c>
      <c r="BS519" s="4">
        <f>_xlfn.IFNA(VLOOKUP(Granger_Inventory[[#This Row],[condition]],Lookups!$A$38:$C$45,3,FALSE),1)</f>
        <v>0.98658583151544277</v>
      </c>
      <c r="BT519" s="4">
        <f>IF(Granger_Inventory[[#This Row],[decade]]="",1,_xlfn.IFNA(VLOOKUP(Granger_Inventory[[#This Row],[decade]],Lookups!$G$28:$I$42,3,FALSE),1))</f>
        <v>1.0539470644652671</v>
      </c>
      <c r="BU519" s="4">
        <f>_xlfn.IFNA(VLOOKUP(Granger_Inventory[[#This Row],[living_area_range]],Lookups!$A$48:$C$57,3,FALSE),1)</f>
        <v>0.81272404900450645</v>
      </c>
      <c r="BV519" s="4">
        <f>AVERAGE(Granger_Inventory[[#This Row],[qual_adj]:[living_range_adj]])</f>
        <v>0.95896122599077416</v>
      </c>
      <c r="BW519" s="8">
        <f>(Granger_Inventory[[#This Row],[sum_land]]-IF(Granger_Inventory[[#This Row],[no_utilities]]=1,12000,0))/IF(Granger_Inventory[[#This Row],[unbuildable]]=1,2,1)</f>
        <v>32806.481099880541</v>
      </c>
      <c r="BX519" s="8">
        <f>Granger_Inventory[[#This Row],[pre_res]]*Granger_Inventory[[#This Row],[overall_adj]]</f>
        <v>209276.6002470708</v>
      </c>
      <c r="BY519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19">
        <f>ROUND(Granger_Inventory[[#This Row],[detatched_value]]*Lookups!$I$45,-2)</f>
        <v>0</v>
      </c>
      <c r="CA519">
        <f>IF(ROUND(Granger_Inventory[[#This Row],[adj_res]]*Lookups!$I$45,-2)&lt;Granger_Inventory[[#This Row],[min_res]],Granger_Inventory[[#This Row],[min_res]],ROUND(Granger_Inventory[[#This Row],[adj_res]]*Lookups!$I$45,-2))</f>
        <v>198800</v>
      </c>
      <c r="CB519">
        <f>Granger_Inventory[[#This Row],[final_det]]+Granger_Inventory[[#This Row],[final_res]]</f>
        <v>198800</v>
      </c>
      <c r="CC519">
        <f>Granger_Inventory[[#This Row],[final_land]]+Granger_Inventory[[#This Row],[final_imp]]+Granger_Inventory[[#This Row],[crop_value]]</f>
        <v>230000</v>
      </c>
      <c r="CE519" t="str">
        <f t="shared" si="8"/>
        <v>update valuation set market_land =31200, market_bldg=198800, market_total =230000, market_mdno =402, market_date ='9/10/2023' where link_id = (select link_id from parcel where parcel_year = '2024' and parcel_id = '21102141400');</v>
      </c>
    </row>
    <row r="520" spans="1:83" x14ac:dyDescent="0.25">
      <c r="A520">
        <v>21102141404</v>
      </c>
      <c r="B520">
        <v>0.16</v>
      </c>
      <c r="C520">
        <v>7000</v>
      </c>
      <c r="D520" t="s">
        <v>137</v>
      </c>
      <c r="E520" t="s">
        <v>54</v>
      </c>
      <c r="F520" t="s">
        <v>54</v>
      </c>
      <c r="G520">
        <v>3</v>
      </c>
      <c r="H520" t="s">
        <v>55</v>
      </c>
      <c r="I520">
        <v>69000</v>
      </c>
      <c r="J520">
        <v>25000</v>
      </c>
      <c r="K520">
        <v>0.16</v>
      </c>
      <c r="L52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0">
        <v>0</v>
      </c>
      <c r="N520">
        <v>0</v>
      </c>
      <c r="O520">
        <v>0</v>
      </c>
      <c r="P520">
        <v>47108.068500000001</v>
      </c>
      <c r="Q520">
        <v>122298</v>
      </c>
      <c r="R520">
        <f>(Granger_Inventory[[#This Row],[ln_acres]]*Granger_Inventory[[#This Row],[coeff]])+Granger_Inventory[[#This Row],[const]]</f>
        <v>35968.626873914327</v>
      </c>
      <c r="S520" t="s">
        <v>69</v>
      </c>
      <c r="T520">
        <v>1</v>
      </c>
      <c r="U520" t="s">
        <v>71</v>
      </c>
      <c r="V520" t="s">
        <v>77</v>
      </c>
      <c r="W520">
        <v>0</v>
      </c>
      <c r="X520">
        <v>0</v>
      </c>
      <c r="Y520">
        <v>33</v>
      </c>
      <c r="Z520">
        <v>33</v>
      </c>
      <c r="AA520">
        <v>40</v>
      </c>
      <c r="AB520">
        <v>1000</v>
      </c>
      <c r="AC520">
        <v>768</v>
      </c>
      <c r="AD520">
        <v>768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24</v>
      </c>
      <c r="AO520">
        <v>0</v>
      </c>
      <c r="AP520">
        <v>5</v>
      </c>
      <c r="AQ520">
        <v>0</v>
      </c>
      <c r="AR520">
        <v>0</v>
      </c>
      <c r="AS520" t="s">
        <v>59</v>
      </c>
      <c r="AT520">
        <v>1</v>
      </c>
      <c r="AU520" t="s">
        <v>68</v>
      </c>
      <c r="AV520" t="s">
        <v>65</v>
      </c>
      <c r="AW520">
        <v>0</v>
      </c>
      <c r="AX520">
        <v>2</v>
      </c>
      <c r="AY520">
        <v>0</v>
      </c>
      <c r="AZ520">
        <v>0</v>
      </c>
      <c r="BA520">
        <v>100</v>
      </c>
      <c r="BB520">
        <v>100</v>
      </c>
      <c r="BC520">
        <v>100</v>
      </c>
      <c r="BD520">
        <v>100</v>
      </c>
      <c r="BE520">
        <v>1</v>
      </c>
      <c r="BF520">
        <v>15000</v>
      </c>
      <c r="BG520">
        <v>1000</v>
      </c>
      <c r="BH520" s="8">
        <f>Granger_Inventory[[#This Row],[land_extract]]*Lookups!$B$3</f>
        <v>21427.618862498482</v>
      </c>
      <c r="BI520" s="8">
        <f>IF(Granger_Inventory[[#This Row],[bldg_style]]="",0,Lookups!$B$2)</f>
        <v>29703.559000000001</v>
      </c>
      <c r="BJ520" s="8">
        <f>_xlfn.IFNA(VLOOKUP(Granger_Inventory[[#This Row],[quality]],Lookups!$H$2:$J$14,3,FALSE),0)</f>
        <v>34195</v>
      </c>
      <c r="BK520" s="8">
        <f>_xlfn.IFNA(VLOOKUP(Granger_Inventory[[#This Row],[condition]],Lookups!$H$17:$J$24,3,FALSE),0)</f>
        <v>33736</v>
      </c>
      <c r="BL520" s="8">
        <f>Granger_Inventory[[#This Row],[Age]]*Lookups!$B$16</f>
        <v>-6841.9263000000001</v>
      </c>
      <c r="BM520" s="8">
        <f>Granger_Inventory[[#This Row],[living_area]]*Lookups!$B$17</f>
        <v>51665.594111999999</v>
      </c>
      <c r="BN520" s="8">
        <f>(Granger_Inventory[[#This Row],[att_gar]]+Granger_Inventory[[#This Row],[blt_gar]])*Lookups!$B$18</f>
        <v>0</v>
      </c>
      <c r="BO520" s="8">
        <f>Granger_Inventory[[#This Row],[Patio]]*Lookups!$B$19</f>
        <v>0</v>
      </c>
      <c r="BP520" s="8">
        <f>SUM(Granger_Inventory[[#This Row],[Intercept]:[Patio_Value]])*Granger_Inventory[[#This Row],[res_pct]]</f>
        <v>142458.22681200001</v>
      </c>
      <c r="BQ520" s="8">
        <f>Granger_Inventory[[#This Row],[land_value]]</f>
        <v>21427.618862498482</v>
      </c>
      <c r="BR520" s="4">
        <f>_xlfn.IFNA(VLOOKUP(Granger_Inventory[[#This Row],[quality]],Lookups!$A$25:$C$35,3,FALSE),1)</f>
        <v>0.98258795897788032</v>
      </c>
      <c r="BS520" s="4">
        <f>_xlfn.IFNA(VLOOKUP(Granger_Inventory[[#This Row],[condition]],Lookups!$A$38:$C$45,3,FALSE),1)</f>
        <v>0.92294678898076177</v>
      </c>
      <c r="BT520" s="4">
        <f>IF(Granger_Inventory[[#This Row],[decade]]="",1,_xlfn.IFNA(VLOOKUP(Granger_Inventory[[#This Row],[decade]],Lookups!$G$28:$I$42,3,FALSE),1))</f>
        <v>0.98127609555109363</v>
      </c>
      <c r="BU520" s="4">
        <f>_xlfn.IFNA(VLOOKUP(Granger_Inventory[[#This Row],[living_area_range]],Lookups!$A$48:$C$57,3,FALSE),1)</f>
        <v>0.81272404900450645</v>
      </c>
      <c r="BV520" s="4">
        <f>AVERAGE(Granger_Inventory[[#This Row],[qual_adj]:[living_range_adj]])</f>
        <v>0.92488372312856049</v>
      </c>
      <c r="BW520" s="8">
        <f>(Granger_Inventory[[#This Row],[sum_land]]-IF(Granger_Inventory[[#This Row],[no_utilities]]=1,12000,0))/IF(Granger_Inventory[[#This Row],[unbuildable]]=1,2,1)</f>
        <v>21427.618862498482</v>
      </c>
      <c r="BX520" s="8">
        <f>Granger_Inventory[[#This Row],[pre_res]]*Granger_Inventory[[#This Row],[overall_adj]]</f>
        <v>131757.29520417549</v>
      </c>
      <c r="BY52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0">
        <f>ROUND(Granger_Inventory[[#This Row],[detatched_value]]*Lookups!$I$45,-2)</f>
        <v>0</v>
      </c>
      <c r="CA520">
        <f>IF(ROUND(Granger_Inventory[[#This Row],[adj_res]]*Lookups!$I$45,-2)&lt;Granger_Inventory[[#This Row],[min_res]],Granger_Inventory[[#This Row],[min_res]],ROUND(Granger_Inventory[[#This Row],[adj_res]]*Lookups!$I$45,-2))</f>
        <v>125200</v>
      </c>
      <c r="CB520">
        <f>Granger_Inventory[[#This Row],[final_det]]+Granger_Inventory[[#This Row],[final_res]]</f>
        <v>125200</v>
      </c>
      <c r="CC520">
        <f>Granger_Inventory[[#This Row],[final_land]]+Granger_Inventory[[#This Row],[final_imp]]+Granger_Inventory[[#This Row],[crop_value]]</f>
        <v>145600</v>
      </c>
      <c r="CE520" t="str">
        <f t="shared" si="8"/>
        <v>update valuation set market_land =20400, market_bldg=125200, market_total =145600, market_mdno =402, market_date ='9/10/2023' where link_id = (select link_id from parcel where parcel_year = '2024' and parcel_id = '21102141404');</v>
      </c>
    </row>
    <row r="521" spans="1:83" x14ac:dyDescent="0.25">
      <c r="A521">
        <v>21102141407</v>
      </c>
      <c r="B521">
        <v>0.16</v>
      </c>
      <c r="C521" t="s">
        <v>137</v>
      </c>
      <c r="D521" t="s">
        <v>137</v>
      </c>
      <c r="E521" t="s">
        <v>54</v>
      </c>
      <c r="F521" t="s">
        <v>54</v>
      </c>
      <c r="G521">
        <v>3</v>
      </c>
      <c r="H521" t="s">
        <v>55</v>
      </c>
      <c r="I521">
        <v>263800</v>
      </c>
      <c r="J521">
        <v>25000</v>
      </c>
      <c r="K521">
        <v>0.16</v>
      </c>
      <c r="L52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1">
        <v>0</v>
      </c>
      <c r="N521">
        <v>0</v>
      </c>
      <c r="O521">
        <v>0</v>
      </c>
      <c r="P521">
        <v>47108.068500000001</v>
      </c>
      <c r="Q521">
        <v>122298</v>
      </c>
      <c r="R521">
        <f>(Granger_Inventory[[#This Row],[ln_acres]]*Granger_Inventory[[#This Row],[coeff]])+Granger_Inventory[[#This Row],[const]]</f>
        <v>35968.626873914327</v>
      </c>
      <c r="S521" t="s">
        <v>56</v>
      </c>
      <c r="T521">
        <v>1</v>
      </c>
      <c r="U521" t="s">
        <v>57</v>
      </c>
      <c r="V521" t="s">
        <v>58</v>
      </c>
      <c r="W521">
        <v>0</v>
      </c>
      <c r="X521">
        <v>0</v>
      </c>
      <c r="Y521">
        <v>3</v>
      </c>
      <c r="Z521">
        <v>3</v>
      </c>
      <c r="AA521">
        <v>10</v>
      </c>
      <c r="AB521">
        <v>2000</v>
      </c>
      <c r="AC521">
        <v>1600</v>
      </c>
      <c r="AD521">
        <v>1600</v>
      </c>
      <c r="AE521">
        <v>0</v>
      </c>
      <c r="AF521">
        <v>0</v>
      </c>
      <c r="AG521">
        <v>0</v>
      </c>
      <c r="AH521">
        <v>0</v>
      </c>
      <c r="AI521">
        <v>304</v>
      </c>
      <c r="AJ521">
        <v>0</v>
      </c>
      <c r="AK521">
        <v>0</v>
      </c>
      <c r="AL521">
        <v>0</v>
      </c>
      <c r="AM521">
        <v>0</v>
      </c>
      <c r="AN521">
        <v>96</v>
      </c>
      <c r="AO521">
        <v>0</v>
      </c>
      <c r="AP521">
        <v>9</v>
      </c>
      <c r="AQ521">
        <v>0</v>
      </c>
      <c r="AR521">
        <v>0</v>
      </c>
      <c r="AS521" t="s">
        <v>59</v>
      </c>
      <c r="AT521">
        <v>1</v>
      </c>
      <c r="AU521" t="s">
        <v>63</v>
      </c>
      <c r="AV521" t="s">
        <v>65</v>
      </c>
      <c r="AW521">
        <v>1</v>
      </c>
      <c r="AX521">
        <v>3</v>
      </c>
      <c r="AY521">
        <v>0</v>
      </c>
      <c r="AZ521">
        <v>0</v>
      </c>
      <c r="BA521">
        <v>100</v>
      </c>
      <c r="BB521">
        <v>100</v>
      </c>
      <c r="BC521">
        <v>100</v>
      </c>
      <c r="BD521">
        <v>100</v>
      </c>
      <c r="BE521">
        <v>1</v>
      </c>
      <c r="BF521">
        <v>15000</v>
      </c>
      <c r="BG521">
        <v>1000</v>
      </c>
      <c r="BH521" s="8">
        <f>Granger_Inventory[[#This Row],[land_extract]]*Lookups!$B$3</f>
        <v>21427.618862498482</v>
      </c>
      <c r="BI521" s="8">
        <f>IF(Granger_Inventory[[#This Row],[bldg_style]]="",0,Lookups!$B$2)</f>
        <v>29703.559000000001</v>
      </c>
      <c r="BJ521" s="8">
        <f>_xlfn.IFNA(VLOOKUP(Granger_Inventory[[#This Row],[quality]],Lookups!$H$2:$J$14,3,FALSE),0)</f>
        <v>56414</v>
      </c>
      <c r="BK521" s="8">
        <f>_xlfn.IFNA(VLOOKUP(Granger_Inventory[[#This Row],[condition]],Lookups!$H$17:$J$24,3,FALSE),0)</f>
        <v>101774</v>
      </c>
      <c r="BL521" s="8">
        <f>Granger_Inventory[[#This Row],[Age]]*Lookups!$B$16</f>
        <v>-621.99329999999998</v>
      </c>
      <c r="BM521" s="8">
        <f>Granger_Inventory[[#This Row],[living_area]]*Lookups!$B$17</f>
        <v>107636.6544</v>
      </c>
      <c r="BN521" s="8">
        <f>(Granger_Inventory[[#This Row],[att_gar]]+Granger_Inventory[[#This Row],[blt_gar]])*Lookups!$B$18</f>
        <v>14728.066144</v>
      </c>
      <c r="BO521" s="8">
        <f>Granger_Inventory[[#This Row],[Patio]]*Lookups!$B$19</f>
        <v>0</v>
      </c>
      <c r="BP521" s="8">
        <f>SUM(Granger_Inventory[[#This Row],[Intercept]:[Patio_Value]])*Granger_Inventory[[#This Row],[res_pct]]</f>
        <v>309634.28624400002</v>
      </c>
      <c r="BQ521" s="8">
        <f>Granger_Inventory[[#This Row],[land_value]]</f>
        <v>21427.618862498482</v>
      </c>
      <c r="BR521" s="4">
        <f>_xlfn.IFNA(VLOOKUP(Granger_Inventory[[#This Row],[quality]],Lookups!$A$25:$C$35,3,FALSE),1)</f>
        <v>0.98791809110152173</v>
      </c>
      <c r="BS521" s="4">
        <f>_xlfn.IFNA(VLOOKUP(Granger_Inventory[[#This Row],[condition]],Lookups!$A$38:$C$45,3,FALSE),1)</f>
        <v>0.99135053432734199</v>
      </c>
      <c r="BT521" s="4">
        <f>IF(Granger_Inventory[[#This Row],[decade]]="",1,_xlfn.IFNA(VLOOKUP(Granger_Inventory[[#This Row],[decade]],Lookups!$G$28:$I$42,3,FALSE),1))</f>
        <v>0.95532362136731586</v>
      </c>
      <c r="BU521" s="4">
        <f>_xlfn.IFNA(VLOOKUP(Granger_Inventory[[#This Row],[living_area_range]],Lookups!$A$48:$C$57,3,FALSE),1)</f>
        <v>0.97860968051050168</v>
      </c>
      <c r="BV521" s="4">
        <f>AVERAGE(Granger_Inventory[[#This Row],[qual_adj]:[living_range_adj]])</f>
        <v>0.97830048182667029</v>
      </c>
      <c r="BW521" s="8">
        <f>(Granger_Inventory[[#This Row],[sum_land]]-IF(Granger_Inventory[[#This Row],[no_utilities]]=1,12000,0))/IF(Granger_Inventory[[#This Row],[unbuildable]]=1,2,1)</f>
        <v>21427.618862498482</v>
      </c>
      <c r="BX521" s="8">
        <f>Granger_Inventory[[#This Row],[pre_res]]*Granger_Inventory[[#This Row],[overall_adj]]</f>
        <v>302915.37142256234</v>
      </c>
      <c r="BY52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1">
        <f>ROUND(Granger_Inventory[[#This Row],[detatched_value]]*Lookups!$I$45,-2)</f>
        <v>0</v>
      </c>
      <c r="CA521">
        <f>IF(ROUND(Granger_Inventory[[#This Row],[adj_res]]*Lookups!$I$45,-2)&lt;Granger_Inventory[[#This Row],[min_res]],Granger_Inventory[[#This Row],[min_res]],ROUND(Granger_Inventory[[#This Row],[adj_res]]*Lookups!$I$45,-2))</f>
        <v>287800</v>
      </c>
      <c r="CB521">
        <f>Granger_Inventory[[#This Row],[final_det]]+Granger_Inventory[[#This Row],[final_res]]</f>
        <v>287800</v>
      </c>
      <c r="CC521">
        <f>Granger_Inventory[[#This Row],[final_land]]+Granger_Inventory[[#This Row],[final_imp]]+Granger_Inventory[[#This Row],[crop_value]]</f>
        <v>308200</v>
      </c>
      <c r="CE521" t="str">
        <f t="shared" si="8"/>
        <v>update valuation set market_land =20400, market_bldg=287800, market_total =308200, market_mdno =402, market_date ='9/10/2023' where link_id = (select link_id from parcel where parcel_year = '2024' and parcel_id = '21102141407');</v>
      </c>
    </row>
    <row r="522" spans="1:83" x14ac:dyDescent="0.25">
      <c r="A522">
        <v>21102141408</v>
      </c>
      <c r="B522">
        <v>0.16</v>
      </c>
      <c r="C522" t="s">
        <v>137</v>
      </c>
      <c r="D522" t="s">
        <v>137</v>
      </c>
      <c r="E522" t="s">
        <v>54</v>
      </c>
      <c r="F522" t="s">
        <v>54</v>
      </c>
      <c r="G522">
        <v>3</v>
      </c>
      <c r="H522" t="s">
        <v>55</v>
      </c>
      <c r="I522">
        <v>0</v>
      </c>
      <c r="J522">
        <v>25000</v>
      </c>
      <c r="K522">
        <v>0.16</v>
      </c>
      <c r="L52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2">
        <v>0</v>
      </c>
      <c r="N522">
        <v>0</v>
      </c>
      <c r="O522">
        <v>0</v>
      </c>
      <c r="P522">
        <v>47108.068500000001</v>
      </c>
      <c r="Q522">
        <v>122298</v>
      </c>
      <c r="R522">
        <f>(Granger_Inventory[[#This Row],[ln_acres]]*Granger_Inventory[[#This Row],[coeff]])+Granger_Inventory[[#This Row],[const]]</f>
        <v>35968.626873914327</v>
      </c>
      <c r="S522" t="s">
        <v>66</v>
      </c>
      <c r="T522">
        <v>1</v>
      </c>
      <c r="U522" t="s">
        <v>78</v>
      </c>
      <c r="V522" t="s">
        <v>109</v>
      </c>
      <c r="W522">
        <v>0</v>
      </c>
      <c r="X522">
        <v>0</v>
      </c>
      <c r="Y522">
        <v>55</v>
      </c>
      <c r="Z522">
        <v>98</v>
      </c>
      <c r="AA522">
        <v>100</v>
      </c>
      <c r="AB522">
        <v>1000</v>
      </c>
      <c r="AC522">
        <v>896</v>
      </c>
      <c r="AD522">
        <v>896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84</v>
      </c>
      <c r="AN522">
        <v>0</v>
      </c>
      <c r="AO522">
        <v>16</v>
      </c>
      <c r="AP522">
        <v>5</v>
      </c>
      <c r="AQ522">
        <v>0</v>
      </c>
      <c r="AR522">
        <v>0</v>
      </c>
      <c r="AS522" t="s">
        <v>59</v>
      </c>
      <c r="AT522">
        <v>0</v>
      </c>
      <c r="AU522" t="s">
        <v>83</v>
      </c>
      <c r="AV522" t="s">
        <v>65</v>
      </c>
      <c r="AW522">
        <v>0</v>
      </c>
      <c r="AX522">
        <v>2</v>
      </c>
      <c r="AY522">
        <v>0</v>
      </c>
      <c r="AZ522">
        <v>0</v>
      </c>
      <c r="BA522">
        <v>75</v>
      </c>
      <c r="BB522">
        <v>100</v>
      </c>
      <c r="BC522">
        <v>100</v>
      </c>
      <c r="BD522">
        <v>100</v>
      </c>
      <c r="BE522">
        <v>0.75</v>
      </c>
      <c r="BF522">
        <v>15000</v>
      </c>
      <c r="BG522">
        <v>1000</v>
      </c>
      <c r="BH522" s="8">
        <f>Granger_Inventory[[#This Row],[land_extract]]*Lookups!$B$3</f>
        <v>21427.618862498482</v>
      </c>
      <c r="BI522" s="8">
        <f>IF(Granger_Inventory[[#This Row],[bldg_style]]="",0,Lookups!$B$2)</f>
        <v>29703.559000000001</v>
      </c>
      <c r="BJ522" s="8">
        <f>_xlfn.IFNA(VLOOKUP(Granger_Inventory[[#This Row],[quality]],Lookups!$H$2:$J$14,3,FALSE),0)</f>
        <v>23737.786340274597</v>
      </c>
      <c r="BK522" s="8">
        <f>_xlfn.IFNA(VLOOKUP(Granger_Inventory[[#This Row],[condition]],Lookups!$H$17:$J$24,3,FALSE),0)</f>
        <v>8238</v>
      </c>
      <c r="BL522" s="8">
        <f>Granger_Inventory[[#This Row],[Age]]*Lookups!$B$16</f>
        <v>-20318.447799999998</v>
      </c>
      <c r="BM522" s="8">
        <f>Granger_Inventory[[#This Row],[living_area]]*Lookups!$B$17</f>
        <v>60276.526463999995</v>
      </c>
      <c r="BN522" s="8">
        <f>(Granger_Inventory[[#This Row],[att_gar]]+Granger_Inventory[[#This Row],[blt_gar]])*Lookups!$B$18</f>
        <v>0</v>
      </c>
      <c r="BO522" s="8">
        <f>Granger_Inventory[[#This Row],[Patio]]*Lookups!$B$19</f>
        <v>4562.4680639999997</v>
      </c>
      <c r="BP522" s="8">
        <f>SUM(Granger_Inventory[[#This Row],[Intercept]:[Patio_Value]])*Granger_Inventory[[#This Row],[res_pct]]</f>
        <v>79649.919051205943</v>
      </c>
      <c r="BQ522" s="8">
        <f>Granger_Inventory[[#This Row],[land_value]]</f>
        <v>21427.618862498482</v>
      </c>
      <c r="BR522" s="4">
        <f>_xlfn.IFNA(VLOOKUP(Granger_Inventory[[#This Row],[quality]],Lookups!$A$25:$C$35,3,FALSE),1)</f>
        <v>0.77695375541795109</v>
      </c>
      <c r="BS522" s="4">
        <f>_xlfn.IFNA(VLOOKUP(Granger_Inventory[[#This Row],[condition]],Lookups!$A$38:$C$45,3,FALSE),1)</f>
        <v>0.59507759803100935</v>
      </c>
      <c r="BT522" s="4">
        <f>IF(Granger_Inventory[[#This Row],[decade]]="",1,_xlfn.IFNA(VLOOKUP(Granger_Inventory[[#This Row],[decade]],Lookups!$G$28:$I$42,3,FALSE),1))</f>
        <v>0.879441629375324</v>
      </c>
      <c r="BU522" s="4">
        <f>_xlfn.IFNA(VLOOKUP(Granger_Inventory[[#This Row],[living_area_range]],Lookups!$A$48:$C$57,3,FALSE),1)</f>
        <v>0.81272404900450645</v>
      </c>
      <c r="BV522" s="4">
        <f>AVERAGE(Granger_Inventory[[#This Row],[qual_adj]:[living_range_adj]])</f>
        <v>0.7660492579571978</v>
      </c>
      <c r="BW522" s="8">
        <f>(Granger_Inventory[[#This Row],[sum_land]]-IF(Granger_Inventory[[#This Row],[no_utilities]]=1,12000,0))/IF(Granger_Inventory[[#This Row],[unbuildable]]=1,2,1)</f>
        <v>21427.618862498482</v>
      </c>
      <c r="BX522" s="8">
        <f>Granger_Inventory[[#This Row],[pre_res]]*Granger_Inventory[[#This Row],[overall_adj]]</f>
        <v>61015.761385527185</v>
      </c>
      <c r="BY52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2">
        <f>ROUND(Granger_Inventory[[#This Row],[detatched_value]]*Lookups!$I$45,-2)</f>
        <v>0</v>
      </c>
      <c r="CA522">
        <f>IF(ROUND(Granger_Inventory[[#This Row],[adj_res]]*Lookups!$I$45,-2)&lt;Granger_Inventory[[#This Row],[min_res]],Granger_Inventory[[#This Row],[min_res]],ROUND(Granger_Inventory[[#This Row],[adj_res]]*Lookups!$I$45,-2))</f>
        <v>58000</v>
      </c>
      <c r="CB522">
        <f>Granger_Inventory[[#This Row],[final_det]]+Granger_Inventory[[#This Row],[final_res]]</f>
        <v>58000</v>
      </c>
      <c r="CC522">
        <f>Granger_Inventory[[#This Row],[final_land]]+Granger_Inventory[[#This Row],[final_imp]]+Granger_Inventory[[#This Row],[crop_value]]</f>
        <v>78400</v>
      </c>
      <c r="CE522" t="str">
        <f t="shared" si="8"/>
        <v>update valuation set market_land =20400, market_bldg=58000, market_total =78400, market_mdno =402, market_date ='9/10/2023' where link_id = (select link_id from parcel where parcel_year = '2024' and parcel_id = '21102141408');</v>
      </c>
    </row>
    <row r="523" spans="1:83" x14ac:dyDescent="0.25">
      <c r="A523">
        <v>21102141409</v>
      </c>
      <c r="B523">
        <v>0.16</v>
      </c>
      <c r="C523">
        <v>7000</v>
      </c>
      <c r="D523" t="s">
        <v>137</v>
      </c>
      <c r="E523" t="s">
        <v>54</v>
      </c>
      <c r="F523" t="s">
        <v>54</v>
      </c>
      <c r="G523">
        <v>3</v>
      </c>
      <c r="H523" t="s">
        <v>55</v>
      </c>
      <c r="I523">
        <v>38800</v>
      </c>
      <c r="J523">
        <v>25000</v>
      </c>
      <c r="K523">
        <v>0.16</v>
      </c>
      <c r="L523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3">
        <v>0</v>
      </c>
      <c r="N523">
        <v>0</v>
      </c>
      <c r="O523">
        <v>0</v>
      </c>
      <c r="P523">
        <v>47108.068500000001</v>
      </c>
      <c r="Q523">
        <v>122298</v>
      </c>
      <c r="R523">
        <f>(Granger_Inventory[[#This Row],[ln_acres]]*Granger_Inventory[[#This Row],[coeff]])+Granger_Inventory[[#This Row],[const]]</f>
        <v>35968.626873914327</v>
      </c>
      <c r="S523" t="s">
        <v>69</v>
      </c>
      <c r="T523">
        <v>1</v>
      </c>
      <c r="U523" t="s">
        <v>106</v>
      </c>
      <c r="V523" t="s">
        <v>77</v>
      </c>
      <c r="W523">
        <v>0</v>
      </c>
      <c r="X523">
        <v>0</v>
      </c>
      <c r="Y523">
        <v>53</v>
      </c>
      <c r="Z523">
        <v>93</v>
      </c>
      <c r="AA523">
        <v>100</v>
      </c>
      <c r="AB523">
        <v>1000</v>
      </c>
      <c r="AC523">
        <v>768</v>
      </c>
      <c r="AD523">
        <v>768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60</v>
      </c>
      <c r="AM523">
        <v>0</v>
      </c>
      <c r="AN523">
        <v>0</v>
      </c>
      <c r="AO523">
        <v>0</v>
      </c>
      <c r="AP523">
        <v>5</v>
      </c>
      <c r="AQ523">
        <v>1</v>
      </c>
      <c r="AR523">
        <v>0</v>
      </c>
      <c r="AS523" t="s">
        <v>59</v>
      </c>
      <c r="AT523">
        <v>0</v>
      </c>
      <c r="AU523" t="s">
        <v>83</v>
      </c>
      <c r="AV523" t="s">
        <v>65</v>
      </c>
      <c r="AW523">
        <v>0</v>
      </c>
      <c r="AX523">
        <v>2</v>
      </c>
      <c r="AY523">
        <v>0</v>
      </c>
      <c r="AZ523">
        <v>0</v>
      </c>
      <c r="BA523">
        <v>100</v>
      </c>
      <c r="BB523">
        <v>100</v>
      </c>
      <c r="BC523">
        <v>100</v>
      </c>
      <c r="BD523">
        <v>100</v>
      </c>
      <c r="BE523">
        <v>1</v>
      </c>
      <c r="BF523">
        <v>15000</v>
      </c>
      <c r="BG523">
        <v>1000</v>
      </c>
      <c r="BH523" s="8">
        <f>Granger_Inventory[[#This Row],[land_extract]]*Lookups!$B$3</f>
        <v>21427.618862498482</v>
      </c>
      <c r="BI523" s="8">
        <f>IF(Granger_Inventory[[#This Row],[bldg_style]]="",0,Lookups!$B$2)</f>
        <v>29703.559000000001</v>
      </c>
      <c r="BJ523" s="8">
        <f>_xlfn.IFNA(VLOOKUP(Granger_Inventory[[#This Row],[quality]],Lookups!$H$2:$J$14,3,FALSE),0)</f>
        <v>17985.540667792327</v>
      </c>
      <c r="BK523" s="8">
        <f>_xlfn.IFNA(VLOOKUP(Granger_Inventory[[#This Row],[condition]],Lookups!$H$17:$J$24,3,FALSE),0)</f>
        <v>33736</v>
      </c>
      <c r="BL523" s="8">
        <f>Granger_Inventory[[#This Row],[Age]]*Lookups!$B$16</f>
        <v>-19281.792300000001</v>
      </c>
      <c r="BM523" s="8">
        <f>Granger_Inventory[[#This Row],[living_area]]*Lookups!$B$17</f>
        <v>51665.594111999999</v>
      </c>
      <c r="BN523" s="8">
        <f>(Granger_Inventory[[#This Row],[att_gar]]+Granger_Inventory[[#This Row],[blt_gar]])*Lookups!$B$18</f>
        <v>0</v>
      </c>
      <c r="BO523" s="8">
        <f>Granger_Inventory[[#This Row],[Patio]]*Lookups!$B$19</f>
        <v>0</v>
      </c>
      <c r="BP523" s="8">
        <f>SUM(Granger_Inventory[[#This Row],[Intercept]:[Patio_Value]])*Granger_Inventory[[#This Row],[res_pct]]</f>
        <v>113808.90147979232</v>
      </c>
      <c r="BQ523" s="8">
        <f>Granger_Inventory[[#This Row],[land_value]]</f>
        <v>21427.618862498482</v>
      </c>
      <c r="BR523" s="4">
        <f>_xlfn.IFNA(VLOOKUP(Granger_Inventory[[#This Row],[quality]],Lookups!$A$25:$C$35,3,FALSE),1)</f>
        <v>0.77695375541795109</v>
      </c>
      <c r="BS523" s="4">
        <f>_xlfn.IFNA(VLOOKUP(Granger_Inventory[[#This Row],[condition]],Lookups!$A$38:$C$45,3,FALSE),1)</f>
        <v>0.92294678898076177</v>
      </c>
      <c r="BT523" s="4">
        <f>IF(Granger_Inventory[[#This Row],[decade]]="",1,_xlfn.IFNA(VLOOKUP(Granger_Inventory[[#This Row],[decade]],Lookups!$G$28:$I$42,3,FALSE),1))</f>
        <v>0.879441629375324</v>
      </c>
      <c r="BU523" s="4">
        <f>_xlfn.IFNA(VLOOKUP(Granger_Inventory[[#This Row],[living_area_range]],Lookups!$A$48:$C$57,3,FALSE),1)</f>
        <v>0.81272404900450645</v>
      </c>
      <c r="BV523" s="4">
        <f>AVERAGE(Granger_Inventory[[#This Row],[qual_adj]:[living_range_adj]])</f>
        <v>0.84801655569463574</v>
      </c>
      <c r="BW523" s="8">
        <f>(Granger_Inventory[[#This Row],[sum_land]]-IF(Granger_Inventory[[#This Row],[no_utilities]]=1,12000,0))/IF(Granger_Inventory[[#This Row],[unbuildable]]=1,2,1)</f>
        <v>21427.618862498482</v>
      </c>
      <c r="BX523" s="8">
        <f>Granger_Inventory[[#This Row],[pre_res]]*Granger_Inventory[[#This Row],[overall_adj]]</f>
        <v>96511.83264028361</v>
      </c>
      <c r="BY523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3">
        <f>ROUND(Granger_Inventory[[#This Row],[detatched_value]]*Lookups!$I$45,-2)</f>
        <v>0</v>
      </c>
      <c r="CA523">
        <f>IF(ROUND(Granger_Inventory[[#This Row],[adj_res]]*Lookups!$I$45,-2)&lt;Granger_Inventory[[#This Row],[min_res]],Granger_Inventory[[#This Row],[min_res]],ROUND(Granger_Inventory[[#This Row],[adj_res]]*Lookups!$I$45,-2))</f>
        <v>91700</v>
      </c>
      <c r="CB523">
        <f>Granger_Inventory[[#This Row],[final_det]]+Granger_Inventory[[#This Row],[final_res]]</f>
        <v>91700</v>
      </c>
      <c r="CC523">
        <f>Granger_Inventory[[#This Row],[final_land]]+Granger_Inventory[[#This Row],[final_imp]]+Granger_Inventory[[#This Row],[crop_value]]</f>
        <v>112100</v>
      </c>
      <c r="CE523" t="str">
        <f t="shared" si="8"/>
        <v>update valuation set market_land =20400, market_bldg=91700, market_total =112100, market_mdno =402, market_date ='9/10/2023' where link_id = (select link_id from parcel where parcel_year = '2024' and parcel_id = '21102141409');</v>
      </c>
    </row>
    <row r="524" spans="1:83" x14ac:dyDescent="0.25">
      <c r="A524">
        <v>21102141410</v>
      </c>
      <c r="B524">
        <v>0.16</v>
      </c>
      <c r="C524">
        <v>6970</v>
      </c>
      <c r="D524" t="s">
        <v>137</v>
      </c>
      <c r="E524" t="s">
        <v>54</v>
      </c>
      <c r="F524" t="s">
        <v>54</v>
      </c>
      <c r="G524">
        <v>3</v>
      </c>
      <c r="H524" t="s">
        <v>55</v>
      </c>
      <c r="I524">
        <v>262700</v>
      </c>
      <c r="J524">
        <v>25000</v>
      </c>
      <c r="K524">
        <v>0.16</v>
      </c>
      <c r="L52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4">
        <v>0</v>
      </c>
      <c r="N524">
        <v>0</v>
      </c>
      <c r="O524">
        <v>0</v>
      </c>
      <c r="P524">
        <v>47108.068500000001</v>
      </c>
      <c r="Q524">
        <v>122298</v>
      </c>
      <c r="R524">
        <f>(Granger_Inventory[[#This Row],[ln_acres]]*Granger_Inventory[[#This Row],[coeff]])+Granger_Inventory[[#This Row],[const]]</f>
        <v>35968.626873914327</v>
      </c>
      <c r="S524" t="s">
        <v>56</v>
      </c>
      <c r="T524">
        <v>1</v>
      </c>
      <c r="U524" t="s">
        <v>57</v>
      </c>
      <c r="V524" t="s">
        <v>58</v>
      </c>
      <c r="W524">
        <v>0</v>
      </c>
      <c r="X524">
        <v>0</v>
      </c>
      <c r="Y524">
        <v>3</v>
      </c>
      <c r="Z524">
        <v>3</v>
      </c>
      <c r="AA524">
        <v>10</v>
      </c>
      <c r="AB524">
        <v>2000</v>
      </c>
      <c r="AC524">
        <v>1600</v>
      </c>
      <c r="AD524">
        <v>1600</v>
      </c>
      <c r="AE524">
        <v>0</v>
      </c>
      <c r="AF524">
        <v>0</v>
      </c>
      <c r="AG524">
        <v>0</v>
      </c>
      <c r="AH524">
        <v>0</v>
      </c>
      <c r="AI524">
        <v>288</v>
      </c>
      <c r="AJ524">
        <v>0</v>
      </c>
      <c r="AK524">
        <v>0</v>
      </c>
      <c r="AL524">
        <v>128</v>
      </c>
      <c r="AM524">
        <v>0</v>
      </c>
      <c r="AN524">
        <v>0</v>
      </c>
      <c r="AO524">
        <v>80</v>
      </c>
      <c r="AP524">
        <v>9</v>
      </c>
      <c r="AQ524">
        <v>0</v>
      </c>
      <c r="AR524">
        <v>0</v>
      </c>
      <c r="AS524" t="s">
        <v>59</v>
      </c>
      <c r="AT524">
        <v>1</v>
      </c>
      <c r="AU524" t="s">
        <v>63</v>
      </c>
      <c r="AV524" t="s">
        <v>65</v>
      </c>
      <c r="AW524">
        <v>1</v>
      </c>
      <c r="AX524">
        <v>3</v>
      </c>
      <c r="AY524">
        <v>0</v>
      </c>
      <c r="AZ524">
        <v>0</v>
      </c>
      <c r="BA524">
        <v>100</v>
      </c>
      <c r="BB524">
        <v>100</v>
      </c>
      <c r="BC524">
        <v>100</v>
      </c>
      <c r="BD524">
        <v>100</v>
      </c>
      <c r="BE524">
        <v>1</v>
      </c>
      <c r="BF524">
        <v>15000</v>
      </c>
      <c r="BG524">
        <v>1000</v>
      </c>
      <c r="BH524" s="8">
        <f>Granger_Inventory[[#This Row],[land_extract]]*Lookups!$B$3</f>
        <v>21427.618862498482</v>
      </c>
      <c r="BI524" s="8">
        <f>IF(Granger_Inventory[[#This Row],[bldg_style]]="",0,Lookups!$B$2)</f>
        <v>29703.559000000001</v>
      </c>
      <c r="BJ524" s="8">
        <f>_xlfn.IFNA(VLOOKUP(Granger_Inventory[[#This Row],[quality]],Lookups!$H$2:$J$14,3,FALSE),0)</f>
        <v>56414</v>
      </c>
      <c r="BK524" s="8">
        <f>_xlfn.IFNA(VLOOKUP(Granger_Inventory[[#This Row],[condition]],Lookups!$H$17:$J$24,3,FALSE),0)</f>
        <v>101774</v>
      </c>
      <c r="BL524" s="8">
        <f>Granger_Inventory[[#This Row],[Age]]*Lookups!$B$16</f>
        <v>-621.99329999999998</v>
      </c>
      <c r="BM524" s="8">
        <f>Granger_Inventory[[#This Row],[living_area]]*Lookups!$B$17</f>
        <v>107636.6544</v>
      </c>
      <c r="BN524" s="8">
        <f>(Granger_Inventory[[#This Row],[att_gar]]+Granger_Inventory[[#This Row],[blt_gar]])*Lookups!$B$18</f>
        <v>13952.904768</v>
      </c>
      <c r="BO524" s="8">
        <f>Granger_Inventory[[#This Row],[Patio]]*Lookups!$B$19</f>
        <v>0</v>
      </c>
      <c r="BP524" s="8">
        <f>SUM(Granger_Inventory[[#This Row],[Intercept]:[Patio_Value]])*Granger_Inventory[[#This Row],[res_pct]]</f>
        <v>308859.12486800004</v>
      </c>
      <c r="BQ524" s="8">
        <f>Granger_Inventory[[#This Row],[land_value]]</f>
        <v>21427.618862498482</v>
      </c>
      <c r="BR524" s="4">
        <f>_xlfn.IFNA(VLOOKUP(Granger_Inventory[[#This Row],[quality]],Lookups!$A$25:$C$35,3,FALSE),1)</f>
        <v>0.98791809110152173</v>
      </c>
      <c r="BS524" s="4">
        <f>_xlfn.IFNA(VLOOKUP(Granger_Inventory[[#This Row],[condition]],Lookups!$A$38:$C$45,3,FALSE),1)</f>
        <v>0.99135053432734199</v>
      </c>
      <c r="BT524" s="4">
        <f>IF(Granger_Inventory[[#This Row],[decade]]="",1,_xlfn.IFNA(VLOOKUP(Granger_Inventory[[#This Row],[decade]],Lookups!$G$28:$I$42,3,FALSE),1))</f>
        <v>0.95532362136731586</v>
      </c>
      <c r="BU524" s="4">
        <f>_xlfn.IFNA(VLOOKUP(Granger_Inventory[[#This Row],[living_area_range]],Lookups!$A$48:$C$57,3,FALSE),1)</f>
        <v>0.97860968051050168</v>
      </c>
      <c r="BV524" s="4">
        <f>AVERAGE(Granger_Inventory[[#This Row],[qual_adj]:[living_range_adj]])</f>
        <v>0.97830048182667029</v>
      </c>
      <c r="BW524" s="8">
        <f>(Granger_Inventory[[#This Row],[sum_land]]-IF(Granger_Inventory[[#This Row],[no_utilities]]=1,12000,0))/IF(Granger_Inventory[[#This Row],[unbuildable]]=1,2,1)</f>
        <v>21427.618862498482</v>
      </c>
      <c r="BX524" s="8">
        <f>Granger_Inventory[[#This Row],[pre_res]]*Granger_Inventory[[#This Row],[overall_adj]]</f>
        <v>302157.03067492816</v>
      </c>
      <c r="BY52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4">
        <f>ROUND(Granger_Inventory[[#This Row],[detatched_value]]*Lookups!$I$45,-2)</f>
        <v>0</v>
      </c>
      <c r="CA524">
        <f>IF(ROUND(Granger_Inventory[[#This Row],[adj_res]]*Lookups!$I$45,-2)&lt;Granger_Inventory[[#This Row],[min_res]],Granger_Inventory[[#This Row],[min_res]],ROUND(Granger_Inventory[[#This Row],[adj_res]]*Lookups!$I$45,-2))</f>
        <v>287000</v>
      </c>
      <c r="CB524">
        <f>Granger_Inventory[[#This Row],[final_det]]+Granger_Inventory[[#This Row],[final_res]]</f>
        <v>287000</v>
      </c>
      <c r="CC524">
        <f>Granger_Inventory[[#This Row],[final_land]]+Granger_Inventory[[#This Row],[final_imp]]+Granger_Inventory[[#This Row],[crop_value]]</f>
        <v>307400</v>
      </c>
      <c r="CE524" t="str">
        <f t="shared" si="8"/>
        <v>update valuation set market_land =20400, market_bldg=287000, market_total =307400, market_mdno =402, market_date ='9/10/2023' where link_id = (select link_id from parcel where parcel_year = '2024' and parcel_id = '21102141410');</v>
      </c>
    </row>
    <row r="525" spans="1:83" x14ac:dyDescent="0.25">
      <c r="A525">
        <v>21102141411</v>
      </c>
      <c r="B525">
        <v>0.16</v>
      </c>
      <c r="C525" t="s">
        <v>137</v>
      </c>
      <c r="D525" t="s">
        <v>137</v>
      </c>
      <c r="E525" t="s">
        <v>54</v>
      </c>
      <c r="F525" t="s">
        <v>54</v>
      </c>
      <c r="G525">
        <v>3</v>
      </c>
      <c r="H525" t="s">
        <v>55</v>
      </c>
      <c r="I525">
        <v>33100</v>
      </c>
      <c r="J525">
        <v>25000</v>
      </c>
      <c r="K525">
        <v>0.16</v>
      </c>
      <c r="L525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5">
        <v>0</v>
      </c>
      <c r="N525">
        <v>0</v>
      </c>
      <c r="O525">
        <v>0</v>
      </c>
      <c r="P525">
        <v>47108.068500000001</v>
      </c>
      <c r="Q525">
        <v>122298</v>
      </c>
      <c r="R525">
        <f>(Granger_Inventory[[#This Row],[ln_acres]]*Granger_Inventory[[#This Row],[coeff]])+Granger_Inventory[[#This Row],[const]]</f>
        <v>35968.626873914327</v>
      </c>
      <c r="S525" t="s">
        <v>69</v>
      </c>
      <c r="T525">
        <v>1</v>
      </c>
      <c r="U525" t="s">
        <v>78</v>
      </c>
      <c r="V525" t="s">
        <v>79</v>
      </c>
      <c r="W525">
        <v>0</v>
      </c>
      <c r="X525">
        <v>0</v>
      </c>
      <c r="Y525">
        <v>57</v>
      </c>
      <c r="Z525">
        <v>103</v>
      </c>
      <c r="AA525">
        <v>110</v>
      </c>
      <c r="AB525">
        <v>1000</v>
      </c>
      <c r="AC525">
        <v>768</v>
      </c>
      <c r="AD525">
        <v>768</v>
      </c>
      <c r="AE525">
        <v>0</v>
      </c>
      <c r="AF525">
        <v>0</v>
      </c>
      <c r="AG525">
        <v>0</v>
      </c>
      <c r="AH525">
        <v>576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96</v>
      </c>
      <c r="AO525">
        <v>0</v>
      </c>
      <c r="AP525">
        <v>5</v>
      </c>
      <c r="AQ525">
        <v>0</v>
      </c>
      <c r="AR525">
        <v>0</v>
      </c>
      <c r="AS525" t="s">
        <v>59</v>
      </c>
      <c r="AT525">
        <v>0</v>
      </c>
      <c r="AU525" t="s">
        <v>83</v>
      </c>
      <c r="AV525" t="s">
        <v>61</v>
      </c>
      <c r="AW525">
        <v>0</v>
      </c>
      <c r="AX525">
        <v>2</v>
      </c>
      <c r="AY525">
        <v>0</v>
      </c>
      <c r="AZ525">
        <v>0</v>
      </c>
      <c r="BA525">
        <v>100</v>
      </c>
      <c r="BB525">
        <v>100</v>
      </c>
      <c r="BC525">
        <v>100</v>
      </c>
      <c r="BD525">
        <v>100</v>
      </c>
      <c r="BE525">
        <v>1</v>
      </c>
      <c r="BF525">
        <v>15000</v>
      </c>
      <c r="BG525">
        <v>1000</v>
      </c>
      <c r="BH525" s="8">
        <f>Granger_Inventory[[#This Row],[land_extract]]*Lookups!$B$3</f>
        <v>21427.618862498482</v>
      </c>
      <c r="BI525" s="8">
        <f>IF(Granger_Inventory[[#This Row],[bldg_style]]="",0,Lookups!$B$2)</f>
        <v>29703.559000000001</v>
      </c>
      <c r="BJ525" s="8">
        <f>_xlfn.IFNA(VLOOKUP(Granger_Inventory[[#This Row],[quality]],Lookups!$H$2:$J$14,3,FALSE),0)</f>
        <v>23737.786340274597</v>
      </c>
      <c r="BK525" s="8">
        <f>_xlfn.IFNA(VLOOKUP(Granger_Inventory[[#This Row],[condition]],Lookups!$H$17:$J$24,3,FALSE),0)</f>
        <v>86727</v>
      </c>
      <c r="BL525" s="8">
        <f>Granger_Inventory[[#This Row],[Age]]*Lookups!$B$16</f>
        <v>-21355.103299999999</v>
      </c>
      <c r="BM525" s="8">
        <f>Granger_Inventory[[#This Row],[living_area]]*Lookups!$B$17</f>
        <v>51665.594111999999</v>
      </c>
      <c r="BN525" s="8">
        <f>(Granger_Inventory[[#This Row],[att_gar]]+Granger_Inventory[[#This Row],[blt_gar]])*Lookups!$B$18</f>
        <v>0</v>
      </c>
      <c r="BO525" s="8">
        <f>Granger_Inventory[[#This Row],[Patio]]*Lookups!$B$19</f>
        <v>0</v>
      </c>
      <c r="BP525" s="8">
        <f>SUM(Granger_Inventory[[#This Row],[Intercept]:[Patio_Value]])*Granger_Inventory[[#This Row],[res_pct]]</f>
        <v>170478.8361522746</v>
      </c>
      <c r="BQ525" s="8">
        <f>Granger_Inventory[[#This Row],[land_value]]</f>
        <v>21427.618862498482</v>
      </c>
      <c r="BR525" s="4">
        <f>_xlfn.IFNA(VLOOKUP(Granger_Inventory[[#This Row],[quality]],Lookups!$A$25:$C$35,3,FALSE),1)</f>
        <v>0.77695375541795109</v>
      </c>
      <c r="BS525" s="4">
        <f>_xlfn.IFNA(VLOOKUP(Granger_Inventory[[#This Row],[condition]],Lookups!$A$38:$C$45,3,FALSE),1)</f>
        <v>0.85322907131620684</v>
      </c>
      <c r="BT525" s="4">
        <f>IF(Granger_Inventory[[#This Row],[decade]]="",1,_xlfn.IFNA(VLOOKUP(Granger_Inventory[[#This Row],[decade]],Lookups!$G$28:$I$42,3,FALSE),1))</f>
        <v>0.879441629375324</v>
      </c>
      <c r="BU525" s="4">
        <f>_xlfn.IFNA(VLOOKUP(Granger_Inventory[[#This Row],[living_area_range]],Lookups!$A$48:$C$57,3,FALSE),1)</f>
        <v>0.81272404900450645</v>
      </c>
      <c r="BV525" s="4">
        <f>AVERAGE(Granger_Inventory[[#This Row],[qual_adj]:[living_range_adj]])</f>
        <v>0.83058712627849718</v>
      </c>
      <c r="BW525" s="8">
        <f>(Granger_Inventory[[#This Row],[sum_land]]-IF(Granger_Inventory[[#This Row],[no_utilities]]=1,12000,0))/IF(Granger_Inventory[[#This Row],[unbuildable]]=1,2,1)</f>
        <v>21427.618862498482</v>
      </c>
      <c r="BX525" s="8">
        <f>Granger_Inventory[[#This Row],[pre_res]]*Granger_Inventory[[#This Row],[overall_adj]]</f>
        <v>141597.52661102053</v>
      </c>
      <c r="BY525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5">
        <f>ROUND(Granger_Inventory[[#This Row],[detatched_value]]*Lookups!$I$45,-2)</f>
        <v>0</v>
      </c>
      <c r="CA525">
        <f>IF(ROUND(Granger_Inventory[[#This Row],[adj_res]]*Lookups!$I$45,-2)&lt;Granger_Inventory[[#This Row],[min_res]],Granger_Inventory[[#This Row],[min_res]],ROUND(Granger_Inventory[[#This Row],[adj_res]]*Lookups!$I$45,-2))</f>
        <v>134500</v>
      </c>
      <c r="CB525">
        <f>Granger_Inventory[[#This Row],[final_det]]+Granger_Inventory[[#This Row],[final_res]]</f>
        <v>134500</v>
      </c>
      <c r="CC525">
        <f>Granger_Inventory[[#This Row],[final_land]]+Granger_Inventory[[#This Row],[final_imp]]+Granger_Inventory[[#This Row],[crop_value]]</f>
        <v>154900</v>
      </c>
      <c r="CE525" t="str">
        <f t="shared" si="8"/>
        <v>update valuation set market_land =20400, market_bldg=134500, market_total =154900, market_mdno =402, market_date ='9/10/2023' where link_id = (select link_id from parcel where parcel_year = '2024' and parcel_id = '21102141411');</v>
      </c>
    </row>
    <row r="526" spans="1:83" x14ac:dyDescent="0.25">
      <c r="A526">
        <v>21102141412</v>
      </c>
      <c r="B526">
        <v>0.32</v>
      </c>
      <c r="C526" t="s">
        <v>137</v>
      </c>
      <c r="D526" t="s">
        <v>137</v>
      </c>
      <c r="E526" t="s">
        <v>54</v>
      </c>
      <c r="F526" t="s">
        <v>54</v>
      </c>
      <c r="G526">
        <v>3</v>
      </c>
      <c r="H526" t="s">
        <v>55</v>
      </c>
      <c r="I526">
        <v>157700</v>
      </c>
      <c r="J526">
        <v>28800</v>
      </c>
      <c r="K526">
        <v>0.32</v>
      </c>
      <c r="L526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526">
        <v>0</v>
      </c>
      <c r="N526">
        <v>0</v>
      </c>
      <c r="O526">
        <v>0</v>
      </c>
      <c r="P526">
        <v>47108.068500000001</v>
      </c>
      <c r="Q526">
        <v>122298</v>
      </c>
      <c r="R526">
        <f>(Granger_Inventory[[#This Row],[ln_acres]]*Granger_Inventory[[#This Row],[coeff]])+Granger_Inventory[[#This Row],[const]]</f>
        <v>68621.451736314106</v>
      </c>
      <c r="S526" t="s">
        <v>62</v>
      </c>
      <c r="T526">
        <v>2</v>
      </c>
      <c r="U526" t="s">
        <v>78</v>
      </c>
      <c r="V526" t="s">
        <v>77</v>
      </c>
      <c r="W526">
        <v>0</v>
      </c>
      <c r="X526">
        <v>0</v>
      </c>
      <c r="Y526">
        <v>57</v>
      </c>
      <c r="Z526">
        <v>103</v>
      </c>
      <c r="AA526">
        <v>110</v>
      </c>
      <c r="AB526">
        <v>2000</v>
      </c>
      <c r="AC526">
        <v>1940</v>
      </c>
      <c r="AD526">
        <v>1304</v>
      </c>
      <c r="AE526">
        <v>636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7</v>
      </c>
      <c r="AQ526">
        <v>0</v>
      </c>
      <c r="AR526">
        <v>0</v>
      </c>
      <c r="AS526" t="s">
        <v>59</v>
      </c>
      <c r="AT526">
        <v>1</v>
      </c>
      <c r="AU526" t="s">
        <v>60</v>
      </c>
      <c r="AV526" t="s">
        <v>61</v>
      </c>
      <c r="AW526">
        <v>1</v>
      </c>
      <c r="AX526">
        <v>3</v>
      </c>
      <c r="AY526">
        <v>0</v>
      </c>
      <c r="AZ526">
        <v>16500</v>
      </c>
      <c r="BA526">
        <v>100</v>
      </c>
      <c r="BB526">
        <v>100</v>
      </c>
      <c r="BC526">
        <v>100</v>
      </c>
      <c r="BD526">
        <v>100</v>
      </c>
      <c r="BE526">
        <v>1</v>
      </c>
      <c r="BF526">
        <v>15000</v>
      </c>
      <c r="BG526">
        <v>1000</v>
      </c>
      <c r="BH526" s="8">
        <f>Granger_Inventory[[#This Row],[land_extract]]*Lookups!$B$3</f>
        <v>40879.912340035793</v>
      </c>
      <c r="BI526" s="8">
        <f>IF(Granger_Inventory[[#This Row],[bldg_style]]="",0,Lookups!$B$2)</f>
        <v>29703.559000000001</v>
      </c>
      <c r="BJ526" s="8">
        <f>_xlfn.IFNA(VLOOKUP(Granger_Inventory[[#This Row],[quality]],Lookups!$H$2:$J$14,3,FALSE),0)</f>
        <v>23737.786340274597</v>
      </c>
      <c r="BK526" s="8">
        <f>_xlfn.IFNA(VLOOKUP(Granger_Inventory[[#This Row],[condition]],Lookups!$H$17:$J$24,3,FALSE),0)</f>
        <v>33736</v>
      </c>
      <c r="BL526" s="8">
        <f>Granger_Inventory[[#This Row],[Age]]*Lookups!$B$16</f>
        <v>-21355.103299999999</v>
      </c>
      <c r="BM526" s="8">
        <f>Granger_Inventory[[#This Row],[living_area]]*Lookups!$B$17</f>
        <v>130509.44345999999</v>
      </c>
      <c r="BN526" s="8">
        <f>(Granger_Inventory[[#This Row],[att_gar]]+Granger_Inventory[[#This Row],[blt_gar]])*Lookups!$B$18</f>
        <v>0</v>
      </c>
      <c r="BO526" s="8">
        <f>Granger_Inventory[[#This Row],[Patio]]*Lookups!$B$19</f>
        <v>0</v>
      </c>
      <c r="BP526" s="8">
        <f>SUM(Granger_Inventory[[#This Row],[Intercept]:[Patio_Value]])*Granger_Inventory[[#This Row],[res_pct]]</f>
        <v>196331.68550027459</v>
      </c>
      <c r="BQ526" s="8">
        <f>Granger_Inventory[[#This Row],[land_value]]</f>
        <v>40879.912340035793</v>
      </c>
      <c r="BR526" s="4">
        <f>_xlfn.IFNA(VLOOKUP(Granger_Inventory[[#This Row],[quality]],Lookups!$A$25:$C$35,3,FALSE),1)</f>
        <v>0.77695375541795109</v>
      </c>
      <c r="BS526" s="4">
        <f>_xlfn.IFNA(VLOOKUP(Granger_Inventory[[#This Row],[condition]],Lookups!$A$38:$C$45,3,FALSE),1)</f>
        <v>0.92294678898076177</v>
      </c>
      <c r="BT526" s="4">
        <f>IF(Granger_Inventory[[#This Row],[decade]]="",1,_xlfn.IFNA(VLOOKUP(Granger_Inventory[[#This Row],[decade]],Lookups!$G$28:$I$42,3,FALSE),1))</f>
        <v>0.879441629375324</v>
      </c>
      <c r="BU526" s="4">
        <f>_xlfn.IFNA(VLOOKUP(Granger_Inventory[[#This Row],[living_area_range]],Lookups!$A$48:$C$57,3,FALSE),1)</f>
        <v>0.97860968051050168</v>
      </c>
      <c r="BV526" s="4">
        <f>AVERAGE(Granger_Inventory[[#This Row],[qual_adj]:[living_range_adj]])</f>
        <v>0.88948796357113458</v>
      </c>
      <c r="BW526" s="8">
        <f>(Granger_Inventory[[#This Row],[sum_land]]-IF(Granger_Inventory[[#This Row],[no_utilities]]=1,12000,0))/IF(Granger_Inventory[[#This Row],[unbuildable]]=1,2,1)</f>
        <v>40879.912340035793</v>
      </c>
      <c r="BX526" s="8">
        <f>Granger_Inventory[[#This Row],[pre_res]]*Granger_Inventory[[#This Row],[overall_adj]]</f>
        <v>174634.67112012769</v>
      </c>
      <c r="BY526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526">
        <f>ROUND(Granger_Inventory[[#This Row],[detatched_value]]*Lookups!$I$45,-2)</f>
        <v>15700</v>
      </c>
      <c r="CA526">
        <f>IF(ROUND(Granger_Inventory[[#This Row],[adj_res]]*Lookups!$I$45,-2)&lt;Granger_Inventory[[#This Row],[min_res]],Granger_Inventory[[#This Row],[min_res]],ROUND(Granger_Inventory[[#This Row],[adj_res]]*Lookups!$I$45,-2))</f>
        <v>165900</v>
      </c>
      <c r="CB526">
        <f>Granger_Inventory[[#This Row],[final_det]]+Granger_Inventory[[#This Row],[final_res]]</f>
        <v>181600</v>
      </c>
      <c r="CC526">
        <f>Granger_Inventory[[#This Row],[final_land]]+Granger_Inventory[[#This Row],[final_imp]]+Granger_Inventory[[#This Row],[crop_value]]</f>
        <v>220400</v>
      </c>
      <c r="CE526" t="str">
        <f t="shared" si="8"/>
        <v>update valuation set market_land =38800, market_bldg=181600, market_total =220400, market_mdno =402, market_date ='9/10/2023' where link_id = (select link_id from parcel where parcel_year = '2024' and parcel_id = '21102141412');</v>
      </c>
    </row>
    <row r="527" spans="1:83" x14ac:dyDescent="0.25">
      <c r="A527">
        <v>21102141413</v>
      </c>
      <c r="B527">
        <v>0.32</v>
      </c>
      <c r="C527" t="s">
        <v>137</v>
      </c>
      <c r="D527" t="s">
        <v>137</v>
      </c>
      <c r="E527" t="s">
        <v>54</v>
      </c>
      <c r="F527" t="s">
        <v>54</v>
      </c>
      <c r="G527">
        <v>3</v>
      </c>
      <c r="H527" t="s">
        <v>55</v>
      </c>
      <c r="I527">
        <v>0</v>
      </c>
      <c r="J527">
        <v>28800</v>
      </c>
      <c r="K527">
        <v>0.32</v>
      </c>
      <c r="L527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527">
        <v>0</v>
      </c>
      <c r="N527">
        <v>0</v>
      </c>
      <c r="O527">
        <v>0</v>
      </c>
      <c r="P527">
        <v>47108.068500000001</v>
      </c>
      <c r="Q527">
        <v>122298</v>
      </c>
      <c r="R527">
        <f>(Granger_Inventory[[#This Row],[ln_acres]]*Granger_Inventory[[#This Row],[coeff]])+Granger_Inventory[[#This Row],[const]]</f>
        <v>68621.451736314106</v>
      </c>
      <c r="S527" t="s">
        <v>69</v>
      </c>
      <c r="T527">
        <v>1</v>
      </c>
      <c r="U527" t="s">
        <v>107</v>
      </c>
      <c r="V527" t="s">
        <v>108</v>
      </c>
      <c r="W527">
        <v>0</v>
      </c>
      <c r="X527">
        <v>0</v>
      </c>
      <c r="Y527">
        <v>58</v>
      </c>
      <c r="Z527">
        <v>104</v>
      </c>
      <c r="AA527">
        <v>110</v>
      </c>
      <c r="AB527">
        <v>1000</v>
      </c>
      <c r="AC527">
        <v>840</v>
      </c>
      <c r="AD527">
        <v>840</v>
      </c>
      <c r="AE527">
        <v>0</v>
      </c>
      <c r="AF527">
        <v>0</v>
      </c>
      <c r="AG527">
        <v>0</v>
      </c>
      <c r="AH527">
        <v>277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5</v>
      </c>
      <c r="AQ527">
        <v>0</v>
      </c>
      <c r="AR527">
        <v>0</v>
      </c>
      <c r="AS527" t="s">
        <v>59</v>
      </c>
      <c r="AT527">
        <v>0</v>
      </c>
      <c r="AU527" t="s">
        <v>83</v>
      </c>
      <c r="AV527" t="s">
        <v>144</v>
      </c>
      <c r="AW527">
        <v>0</v>
      </c>
      <c r="AX527">
        <v>2</v>
      </c>
      <c r="AY527">
        <v>0</v>
      </c>
      <c r="AZ527">
        <v>0</v>
      </c>
      <c r="BA527">
        <v>100</v>
      </c>
      <c r="BB527">
        <v>100</v>
      </c>
      <c r="BC527">
        <v>100</v>
      </c>
      <c r="BD527">
        <v>100</v>
      </c>
      <c r="BE527">
        <v>0</v>
      </c>
      <c r="BF527">
        <v>15000</v>
      </c>
      <c r="BG527">
        <v>0</v>
      </c>
      <c r="BH527" s="8">
        <f>Granger_Inventory[[#This Row],[land_extract]]*Lookups!$B$3</f>
        <v>40879.912340035793</v>
      </c>
      <c r="BI527" s="8">
        <f>IF(Granger_Inventory[[#This Row],[bldg_style]]="",0,Lookups!$B$2)</f>
        <v>29703.559000000001</v>
      </c>
      <c r="BJ527" s="8">
        <f>_xlfn.IFNA(VLOOKUP(Granger_Inventory[[#This Row],[quality]],Lookups!$H$2:$J$14,3,FALSE),0)</f>
        <v>13627.20468015931</v>
      </c>
      <c r="BK527" s="8">
        <f>_xlfn.IFNA(VLOOKUP(Granger_Inventory[[#This Row],[condition]],Lookups!$H$17:$J$24,3,FALSE),0)</f>
        <v>-10832</v>
      </c>
      <c r="BL527" s="8">
        <f>Granger_Inventory[[#This Row],[Age]]*Lookups!$B$16</f>
        <v>-21562.434399999998</v>
      </c>
      <c r="BM527" s="8">
        <f>Granger_Inventory[[#This Row],[living_area]]*Lookups!$B$17</f>
        <v>56509.243559999995</v>
      </c>
      <c r="BN527" s="8">
        <f>(Granger_Inventory[[#This Row],[att_gar]]+Granger_Inventory[[#This Row],[blt_gar]])*Lookups!$B$18</f>
        <v>0</v>
      </c>
      <c r="BO527" s="8">
        <f>Granger_Inventory[[#This Row],[Patio]]*Lookups!$B$19</f>
        <v>0</v>
      </c>
      <c r="BP527" s="8">
        <f>SUM(Granger_Inventory[[#This Row],[Intercept]:[Patio_Value]])*Granger_Inventory[[#This Row],[res_pct]]</f>
        <v>0</v>
      </c>
      <c r="BQ527" s="8">
        <f>Granger_Inventory[[#This Row],[land_value]]</f>
        <v>40879.912340035793</v>
      </c>
      <c r="BR527" s="4">
        <f>_xlfn.IFNA(VLOOKUP(Granger_Inventory[[#This Row],[quality]],Lookups!$A$25:$C$35,3,FALSE),1)</f>
        <v>0.77695375541795109</v>
      </c>
      <c r="BS527" s="4">
        <f>_xlfn.IFNA(VLOOKUP(Granger_Inventory[[#This Row],[condition]],Lookups!$A$38:$C$45,3,FALSE),1)</f>
        <v>0</v>
      </c>
      <c r="BT527" s="4">
        <f>IF(Granger_Inventory[[#This Row],[decade]]="",1,_xlfn.IFNA(VLOOKUP(Granger_Inventory[[#This Row],[decade]],Lookups!$G$28:$I$42,3,FALSE),1))</f>
        <v>0.879441629375324</v>
      </c>
      <c r="BU527" s="4">
        <f>_xlfn.IFNA(VLOOKUP(Granger_Inventory[[#This Row],[living_area_range]],Lookups!$A$48:$C$57,3,FALSE),1)</f>
        <v>0.81272404900450645</v>
      </c>
      <c r="BV527" s="4">
        <f>AVERAGE(Granger_Inventory[[#This Row],[qual_adj]:[living_range_adj]])</f>
        <v>0.61727985844944544</v>
      </c>
      <c r="BW527" s="8">
        <f>(Granger_Inventory[[#This Row],[sum_land]]-IF(Granger_Inventory[[#This Row],[no_utilities]]=1,12000,0))/IF(Granger_Inventory[[#This Row],[unbuildable]]=1,2,1)</f>
        <v>40879.912340035793</v>
      </c>
      <c r="BX527" s="8">
        <f>Granger_Inventory[[#This Row],[pre_res]]*Granger_Inventory[[#This Row],[overall_adj]]</f>
        <v>0</v>
      </c>
      <c r="BY527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527">
        <f>ROUND(Granger_Inventory[[#This Row],[detatched_value]]*Lookups!$I$45,-2)</f>
        <v>0</v>
      </c>
      <c r="CA52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527">
        <f>Granger_Inventory[[#This Row],[final_det]]+Granger_Inventory[[#This Row],[final_res]]</f>
        <v>0</v>
      </c>
      <c r="CC527">
        <f>Granger_Inventory[[#This Row],[final_land]]+Granger_Inventory[[#This Row],[final_imp]]+Granger_Inventory[[#This Row],[crop_value]]</f>
        <v>38800</v>
      </c>
      <c r="CE527" t="str">
        <f t="shared" si="8"/>
        <v>update valuation set market_land =38800, market_bldg=0, market_total =38800, market_mdno =402, market_date ='9/10/2023' where link_id = (select link_id from parcel where parcel_year = '2024' and parcel_id = '21102141413');</v>
      </c>
    </row>
    <row r="528" spans="1:83" x14ac:dyDescent="0.25">
      <c r="A528">
        <v>21102141415</v>
      </c>
      <c r="B528">
        <v>0.16</v>
      </c>
      <c r="C528">
        <v>7000</v>
      </c>
      <c r="D528" t="s">
        <v>137</v>
      </c>
      <c r="E528" t="s">
        <v>54</v>
      </c>
      <c r="F528" t="s">
        <v>54</v>
      </c>
      <c r="G528">
        <v>3</v>
      </c>
      <c r="H528" t="s">
        <v>55</v>
      </c>
      <c r="I528">
        <v>62400</v>
      </c>
      <c r="J528">
        <v>25000</v>
      </c>
      <c r="K528">
        <v>0.16</v>
      </c>
      <c r="L52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8">
        <v>0</v>
      </c>
      <c r="N528">
        <v>0</v>
      </c>
      <c r="O528">
        <v>0</v>
      </c>
      <c r="P528">
        <v>47108.068500000001</v>
      </c>
      <c r="Q528">
        <v>122298</v>
      </c>
      <c r="R528">
        <f>(Granger_Inventory[[#This Row],[ln_acres]]*Granger_Inventory[[#This Row],[coeff]])+Granger_Inventory[[#This Row],[const]]</f>
        <v>35968.626873914327</v>
      </c>
      <c r="S528" t="s">
        <v>62</v>
      </c>
      <c r="T528">
        <v>1</v>
      </c>
      <c r="U528" t="s">
        <v>78</v>
      </c>
      <c r="V528" t="s">
        <v>77</v>
      </c>
      <c r="W528">
        <v>0</v>
      </c>
      <c r="X528">
        <v>0</v>
      </c>
      <c r="Y528">
        <v>53</v>
      </c>
      <c r="Z528">
        <v>93</v>
      </c>
      <c r="AA528">
        <v>100</v>
      </c>
      <c r="AB528">
        <v>1000</v>
      </c>
      <c r="AC528">
        <v>652</v>
      </c>
      <c r="AD528">
        <v>652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5</v>
      </c>
      <c r="AQ528">
        <v>0</v>
      </c>
      <c r="AR528">
        <v>0</v>
      </c>
      <c r="AS528" t="s">
        <v>59</v>
      </c>
      <c r="AT528">
        <v>0</v>
      </c>
      <c r="AU528" t="s">
        <v>83</v>
      </c>
      <c r="AV528" t="s">
        <v>61</v>
      </c>
      <c r="AW528">
        <v>0</v>
      </c>
      <c r="AX528">
        <v>3</v>
      </c>
      <c r="AY528">
        <v>0</v>
      </c>
      <c r="AZ528">
        <v>0</v>
      </c>
      <c r="BA528">
        <v>100</v>
      </c>
      <c r="BB528">
        <v>100</v>
      </c>
      <c r="BC528">
        <v>100</v>
      </c>
      <c r="BD528">
        <v>100</v>
      </c>
      <c r="BE528">
        <v>1</v>
      </c>
      <c r="BF528">
        <v>15000</v>
      </c>
      <c r="BG528">
        <v>1000</v>
      </c>
      <c r="BH528" s="8">
        <f>Granger_Inventory[[#This Row],[land_extract]]*Lookups!$B$3</f>
        <v>21427.618862498482</v>
      </c>
      <c r="BI528" s="8">
        <f>IF(Granger_Inventory[[#This Row],[bldg_style]]="",0,Lookups!$B$2)</f>
        <v>29703.559000000001</v>
      </c>
      <c r="BJ528" s="8">
        <f>_xlfn.IFNA(VLOOKUP(Granger_Inventory[[#This Row],[quality]],Lookups!$H$2:$J$14,3,FALSE),0)</f>
        <v>23737.786340274597</v>
      </c>
      <c r="BK528" s="8">
        <f>_xlfn.IFNA(VLOOKUP(Granger_Inventory[[#This Row],[condition]],Lookups!$H$17:$J$24,3,FALSE),0)</f>
        <v>33736</v>
      </c>
      <c r="BL528" s="8">
        <f>Granger_Inventory[[#This Row],[Age]]*Lookups!$B$16</f>
        <v>-19281.792300000001</v>
      </c>
      <c r="BM528" s="8">
        <f>Granger_Inventory[[#This Row],[living_area]]*Lookups!$B$17</f>
        <v>43861.936668000002</v>
      </c>
      <c r="BN528" s="8">
        <f>(Granger_Inventory[[#This Row],[att_gar]]+Granger_Inventory[[#This Row],[blt_gar]])*Lookups!$B$18</f>
        <v>0</v>
      </c>
      <c r="BO528" s="8">
        <f>Granger_Inventory[[#This Row],[Patio]]*Lookups!$B$19</f>
        <v>0</v>
      </c>
      <c r="BP528" s="8">
        <f>SUM(Granger_Inventory[[#This Row],[Intercept]:[Patio_Value]])*Granger_Inventory[[#This Row],[res_pct]]</f>
        <v>111757.4897082746</v>
      </c>
      <c r="BQ528" s="8">
        <f>Granger_Inventory[[#This Row],[land_value]]</f>
        <v>21427.618862498482</v>
      </c>
      <c r="BR528" s="4">
        <f>_xlfn.IFNA(VLOOKUP(Granger_Inventory[[#This Row],[quality]],Lookups!$A$25:$C$35,3,FALSE),1)</f>
        <v>0.77695375541795109</v>
      </c>
      <c r="BS528" s="4">
        <f>_xlfn.IFNA(VLOOKUP(Granger_Inventory[[#This Row],[condition]],Lookups!$A$38:$C$45,3,FALSE),1)</f>
        <v>0.92294678898076177</v>
      </c>
      <c r="BT528" s="4">
        <f>IF(Granger_Inventory[[#This Row],[decade]]="",1,_xlfn.IFNA(VLOOKUP(Granger_Inventory[[#This Row],[decade]],Lookups!$G$28:$I$42,3,FALSE),1))</f>
        <v>0.879441629375324</v>
      </c>
      <c r="BU528" s="4">
        <f>_xlfn.IFNA(VLOOKUP(Granger_Inventory[[#This Row],[living_area_range]],Lookups!$A$48:$C$57,3,FALSE),1)</f>
        <v>0.81272404900450645</v>
      </c>
      <c r="BV528" s="4">
        <f>AVERAGE(Granger_Inventory[[#This Row],[qual_adj]:[living_range_adj]])</f>
        <v>0.84801655569463574</v>
      </c>
      <c r="BW528" s="8">
        <f>(Granger_Inventory[[#This Row],[sum_land]]-IF(Granger_Inventory[[#This Row],[no_utilities]]=1,12000,0))/IF(Granger_Inventory[[#This Row],[unbuildable]]=1,2,1)</f>
        <v>21427.618862498482</v>
      </c>
      <c r="BX528" s="8">
        <f>Granger_Inventory[[#This Row],[pre_res]]*Granger_Inventory[[#This Row],[overall_adj]]</f>
        <v>94772.201495489731</v>
      </c>
      <c r="BY52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8">
        <f>ROUND(Granger_Inventory[[#This Row],[detatched_value]]*Lookups!$I$45,-2)</f>
        <v>0</v>
      </c>
      <c r="CA528">
        <f>IF(ROUND(Granger_Inventory[[#This Row],[adj_res]]*Lookups!$I$45,-2)&lt;Granger_Inventory[[#This Row],[min_res]],Granger_Inventory[[#This Row],[min_res]],ROUND(Granger_Inventory[[#This Row],[adj_res]]*Lookups!$I$45,-2))</f>
        <v>90000</v>
      </c>
      <c r="CB528">
        <f>Granger_Inventory[[#This Row],[final_det]]+Granger_Inventory[[#This Row],[final_res]]</f>
        <v>90000</v>
      </c>
      <c r="CC528">
        <f>Granger_Inventory[[#This Row],[final_land]]+Granger_Inventory[[#This Row],[final_imp]]+Granger_Inventory[[#This Row],[crop_value]]</f>
        <v>110400</v>
      </c>
      <c r="CE528" t="str">
        <f t="shared" si="8"/>
        <v>update valuation set market_land =20400, market_bldg=90000, market_total =110400, market_mdno =402, market_date ='9/10/2023' where link_id = (select link_id from parcel where parcel_year = '2024' and parcel_id = '21102141415');</v>
      </c>
    </row>
    <row r="529" spans="1:83" x14ac:dyDescent="0.25">
      <c r="A529">
        <v>21102141417</v>
      </c>
      <c r="B529">
        <v>0.16</v>
      </c>
      <c r="C529">
        <v>6988</v>
      </c>
      <c r="D529" t="s">
        <v>137</v>
      </c>
      <c r="E529" t="s">
        <v>54</v>
      </c>
      <c r="F529" t="s">
        <v>54</v>
      </c>
      <c r="G529">
        <v>3</v>
      </c>
      <c r="H529" t="s">
        <v>55</v>
      </c>
      <c r="I529">
        <v>99000</v>
      </c>
      <c r="J529">
        <v>25000</v>
      </c>
      <c r="K529">
        <v>0.16</v>
      </c>
      <c r="L529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29">
        <v>0</v>
      </c>
      <c r="N529">
        <v>0</v>
      </c>
      <c r="O529">
        <v>0</v>
      </c>
      <c r="P529">
        <v>47108.068500000001</v>
      </c>
      <c r="Q529">
        <v>122298</v>
      </c>
      <c r="R529">
        <f>(Granger_Inventory[[#This Row],[ln_acres]]*Granger_Inventory[[#This Row],[coeff]])+Granger_Inventory[[#This Row],[const]]</f>
        <v>35968.626873914327</v>
      </c>
      <c r="S529" t="s">
        <v>69</v>
      </c>
      <c r="T529">
        <v>1</v>
      </c>
      <c r="U529" t="s">
        <v>78</v>
      </c>
      <c r="V529" t="s">
        <v>77</v>
      </c>
      <c r="W529">
        <v>0</v>
      </c>
      <c r="X529">
        <v>0</v>
      </c>
      <c r="Y529">
        <v>52</v>
      </c>
      <c r="Z529">
        <v>88</v>
      </c>
      <c r="AA529">
        <v>90</v>
      </c>
      <c r="AB529">
        <v>1500</v>
      </c>
      <c r="AC529">
        <v>1254</v>
      </c>
      <c r="AD529">
        <v>1254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70</v>
      </c>
      <c r="AN529">
        <v>268</v>
      </c>
      <c r="AO529">
        <v>0</v>
      </c>
      <c r="AP529">
        <v>7</v>
      </c>
      <c r="AQ529">
        <v>1</v>
      </c>
      <c r="AR529">
        <v>0</v>
      </c>
      <c r="AS529" t="s">
        <v>59</v>
      </c>
      <c r="AT529">
        <v>0</v>
      </c>
      <c r="AU529" t="s">
        <v>142</v>
      </c>
      <c r="AV529" t="s">
        <v>65</v>
      </c>
      <c r="AW529">
        <v>0</v>
      </c>
      <c r="AX529">
        <v>3</v>
      </c>
      <c r="AY529">
        <v>0</v>
      </c>
      <c r="AZ529">
        <v>0</v>
      </c>
      <c r="BA529">
        <v>100</v>
      </c>
      <c r="BB529">
        <v>100</v>
      </c>
      <c r="BC529">
        <v>100</v>
      </c>
      <c r="BD529">
        <v>100</v>
      </c>
      <c r="BE529">
        <v>1</v>
      </c>
      <c r="BF529">
        <v>15000</v>
      </c>
      <c r="BG529">
        <v>1000</v>
      </c>
      <c r="BH529" s="8">
        <f>Granger_Inventory[[#This Row],[land_extract]]*Lookups!$B$3</f>
        <v>21427.618862498482</v>
      </c>
      <c r="BI529" s="8">
        <f>IF(Granger_Inventory[[#This Row],[bldg_style]]="",0,Lookups!$B$2)</f>
        <v>29703.559000000001</v>
      </c>
      <c r="BJ529" s="8">
        <f>_xlfn.IFNA(VLOOKUP(Granger_Inventory[[#This Row],[quality]],Lookups!$H$2:$J$14,3,FALSE),0)</f>
        <v>23737.786340274597</v>
      </c>
      <c r="BK529" s="8">
        <f>_xlfn.IFNA(VLOOKUP(Granger_Inventory[[#This Row],[condition]],Lookups!$H$17:$J$24,3,FALSE),0)</f>
        <v>33736</v>
      </c>
      <c r="BL529" s="8">
        <f>Granger_Inventory[[#This Row],[Age]]*Lookups!$B$16</f>
        <v>-18245.1368</v>
      </c>
      <c r="BM529" s="8">
        <f>Granger_Inventory[[#This Row],[living_area]]*Lookups!$B$17</f>
        <v>84360.227885999993</v>
      </c>
      <c r="BN529" s="8">
        <f>(Granger_Inventory[[#This Row],[att_gar]]+Granger_Inventory[[#This Row],[blt_gar]])*Lookups!$B$18</f>
        <v>0</v>
      </c>
      <c r="BO529" s="8">
        <f>Granger_Inventory[[#This Row],[Patio]]*Lookups!$B$19</f>
        <v>3802.0567199999996</v>
      </c>
      <c r="BP529" s="8">
        <f>SUM(Granger_Inventory[[#This Row],[Intercept]:[Patio_Value]])*Granger_Inventory[[#This Row],[res_pct]]</f>
        <v>157094.49314627459</v>
      </c>
      <c r="BQ529" s="8">
        <f>Granger_Inventory[[#This Row],[land_value]]</f>
        <v>21427.618862498482</v>
      </c>
      <c r="BR529" s="4">
        <f>_xlfn.IFNA(VLOOKUP(Granger_Inventory[[#This Row],[quality]],Lookups!$A$25:$C$35,3,FALSE),1)</f>
        <v>0.77695375541795109</v>
      </c>
      <c r="BS529" s="4">
        <f>_xlfn.IFNA(VLOOKUP(Granger_Inventory[[#This Row],[condition]],Lookups!$A$38:$C$45,3,FALSE),1)</f>
        <v>0.92294678898076177</v>
      </c>
      <c r="BT529" s="4">
        <f>IF(Granger_Inventory[[#This Row],[decade]]="",1,_xlfn.IFNA(VLOOKUP(Granger_Inventory[[#This Row],[decade]],Lookups!$G$28:$I$42,3,FALSE),1))</f>
        <v>0.95234610137492615</v>
      </c>
      <c r="BU529" s="4">
        <f>_xlfn.IFNA(VLOOKUP(Granger_Inventory[[#This Row],[living_area_range]],Lookups!$A$48:$C$57,3,FALSE),1)</f>
        <v>0.97960506760539345</v>
      </c>
      <c r="BV529" s="4">
        <f>AVERAGE(Granger_Inventory[[#This Row],[qual_adj]:[living_range_adj]])</f>
        <v>0.90796292834475811</v>
      </c>
      <c r="BW529" s="8">
        <f>(Granger_Inventory[[#This Row],[sum_land]]-IF(Granger_Inventory[[#This Row],[no_utilities]]=1,12000,0))/IF(Granger_Inventory[[#This Row],[unbuildable]]=1,2,1)</f>
        <v>21427.618862498482</v>
      </c>
      <c r="BX529" s="8">
        <f>Granger_Inventory[[#This Row],[pre_res]]*Granger_Inventory[[#This Row],[overall_adj]]</f>
        <v>142635.97602392701</v>
      </c>
      <c r="BY529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29">
        <f>ROUND(Granger_Inventory[[#This Row],[detatched_value]]*Lookups!$I$45,-2)</f>
        <v>0</v>
      </c>
      <c r="CA529">
        <f>IF(ROUND(Granger_Inventory[[#This Row],[adj_res]]*Lookups!$I$45,-2)&lt;Granger_Inventory[[#This Row],[min_res]],Granger_Inventory[[#This Row],[min_res]],ROUND(Granger_Inventory[[#This Row],[adj_res]]*Lookups!$I$45,-2))</f>
        <v>135500</v>
      </c>
      <c r="CB529">
        <f>Granger_Inventory[[#This Row],[final_det]]+Granger_Inventory[[#This Row],[final_res]]</f>
        <v>135500</v>
      </c>
      <c r="CC529">
        <f>Granger_Inventory[[#This Row],[final_land]]+Granger_Inventory[[#This Row],[final_imp]]+Granger_Inventory[[#This Row],[crop_value]]</f>
        <v>155900</v>
      </c>
      <c r="CE529" t="str">
        <f t="shared" si="8"/>
        <v>update valuation set market_land =20400, market_bldg=135500, market_total =155900, market_mdno =402, market_date ='9/10/2023' where link_id = (select link_id from parcel where parcel_year = '2024' and parcel_id = '21102141417');</v>
      </c>
    </row>
    <row r="530" spans="1:83" x14ac:dyDescent="0.25">
      <c r="A530">
        <v>21102141418</v>
      </c>
      <c r="B530">
        <v>0.16</v>
      </c>
      <c r="C530">
        <v>6979</v>
      </c>
      <c r="D530" t="s">
        <v>137</v>
      </c>
      <c r="E530" t="s">
        <v>54</v>
      </c>
      <c r="F530" t="s">
        <v>54</v>
      </c>
      <c r="G530">
        <v>3</v>
      </c>
      <c r="H530" t="s">
        <v>55</v>
      </c>
      <c r="I530">
        <v>77300</v>
      </c>
      <c r="J530">
        <v>25000</v>
      </c>
      <c r="K530">
        <v>0.16</v>
      </c>
      <c r="L53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30">
        <v>0</v>
      </c>
      <c r="N530">
        <v>0</v>
      </c>
      <c r="O530">
        <v>0</v>
      </c>
      <c r="P530">
        <v>47108.068500000001</v>
      </c>
      <c r="Q530">
        <v>122298</v>
      </c>
      <c r="R530">
        <f>(Granger_Inventory[[#This Row],[ln_acres]]*Granger_Inventory[[#This Row],[coeff]])+Granger_Inventory[[#This Row],[const]]</f>
        <v>35968.626873914327</v>
      </c>
      <c r="S530" t="s">
        <v>69</v>
      </c>
      <c r="T530">
        <v>1</v>
      </c>
      <c r="U530" t="s">
        <v>78</v>
      </c>
      <c r="V530" t="s">
        <v>77</v>
      </c>
      <c r="W530">
        <v>0</v>
      </c>
      <c r="X530">
        <v>0</v>
      </c>
      <c r="Y530">
        <v>53</v>
      </c>
      <c r="Z530">
        <v>93</v>
      </c>
      <c r="AA530">
        <v>100</v>
      </c>
      <c r="AB530">
        <v>1000</v>
      </c>
      <c r="AC530">
        <v>968</v>
      </c>
      <c r="AD530">
        <v>968</v>
      </c>
      <c r="AE530">
        <v>0</v>
      </c>
      <c r="AF530">
        <v>0</v>
      </c>
      <c r="AG530">
        <v>0</v>
      </c>
      <c r="AH530">
        <v>176</v>
      </c>
      <c r="AI530">
        <v>0</v>
      </c>
      <c r="AJ530">
        <v>0</v>
      </c>
      <c r="AK530">
        <v>216</v>
      </c>
      <c r="AL530">
        <v>60</v>
      </c>
      <c r="AM530">
        <v>0</v>
      </c>
      <c r="AN530">
        <v>24</v>
      </c>
      <c r="AO530">
        <v>288</v>
      </c>
      <c r="AP530">
        <v>5</v>
      </c>
      <c r="AQ530">
        <v>0</v>
      </c>
      <c r="AR530">
        <v>0</v>
      </c>
      <c r="AS530" t="s">
        <v>139</v>
      </c>
      <c r="AT530">
        <v>0</v>
      </c>
      <c r="AU530" t="s">
        <v>83</v>
      </c>
      <c r="AV530" t="s">
        <v>61</v>
      </c>
      <c r="AW530">
        <v>0</v>
      </c>
      <c r="AX530">
        <v>3</v>
      </c>
      <c r="AY530">
        <v>0</v>
      </c>
      <c r="AZ530">
        <v>0</v>
      </c>
      <c r="BA530">
        <v>100</v>
      </c>
      <c r="BB530">
        <v>100</v>
      </c>
      <c r="BC530">
        <v>100</v>
      </c>
      <c r="BD530">
        <v>100</v>
      </c>
      <c r="BE530">
        <v>1</v>
      </c>
      <c r="BF530">
        <v>15000</v>
      </c>
      <c r="BG530">
        <v>1000</v>
      </c>
      <c r="BH530" s="8">
        <f>Granger_Inventory[[#This Row],[land_extract]]*Lookups!$B$3</f>
        <v>21427.618862498482</v>
      </c>
      <c r="BI530" s="8">
        <f>IF(Granger_Inventory[[#This Row],[bldg_style]]="",0,Lookups!$B$2)</f>
        <v>29703.559000000001</v>
      </c>
      <c r="BJ530" s="8">
        <f>_xlfn.IFNA(VLOOKUP(Granger_Inventory[[#This Row],[quality]],Lookups!$H$2:$J$14,3,FALSE),0)</f>
        <v>23737.786340274597</v>
      </c>
      <c r="BK530" s="8">
        <f>_xlfn.IFNA(VLOOKUP(Granger_Inventory[[#This Row],[condition]],Lookups!$H$17:$J$24,3,FALSE),0)</f>
        <v>33736</v>
      </c>
      <c r="BL530" s="8">
        <f>Granger_Inventory[[#This Row],[Age]]*Lookups!$B$16</f>
        <v>-19281.792300000001</v>
      </c>
      <c r="BM530" s="8">
        <f>Granger_Inventory[[#This Row],[living_area]]*Lookups!$B$17</f>
        <v>65120.175911999999</v>
      </c>
      <c r="BN530" s="8">
        <f>(Granger_Inventory[[#This Row],[att_gar]]+Granger_Inventory[[#This Row],[blt_gar]])*Lookups!$B$18</f>
        <v>0</v>
      </c>
      <c r="BO530" s="8">
        <f>Granger_Inventory[[#This Row],[Patio]]*Lookups!$B$19</f>
        <v>0</v>
      </c>
      <c r="BP530" s="8">
        <f>SUM(Granger_Inventory[[#This Row],[Intercept]:[Patio_Value]])*Granger_Inventory[[#This Row],[res_pct]]</f>
        <v>133015.7289522746</v>
      </c>
      <c r="BQ530" s="8">
        <f>Granger_Inventory[[#This Row],[land_value]]</f>
        <v>21427.618862498482</v>
      </c>
      <c r="BR530" s="4">
        <f>_xlfn.IFNA(VLOOKUP(Granger_Inventory[[#This Row],[quality]],Lookups!$A$25:$C$35,3,FALSE),1)</f>
        <v>0.77695375541795109</v>
      </c>
      <c r="BS530" s="4">
        <f>_xlfn.IFNA(VLOOKUP(Granger_Inventory[[#This Row],[condition]],Lookups!$A$38:$C$45,3,FALSE),1)</f>
        <v>0.92294678898076177</v>
      </c>
      <c r="BT530" s="4">
        <f>IF(Granger_Inventory[[#This Row],[decade]]="",1,_xlfn.IFNA(VLOOKUP(Granger_Inventory[[#This Row],[decade]],Lookups!$G$28:$I$42,3,FALSE),1))</f>
        <v>0.879441629375324</v>
      </c>
      <c r="BU530" s="4">
        <f>_xlfn.IFNA(VLOOKUP(Granger_Inventory[[#This Row],[living_area_range]],Lookups!$A$48:$C$57,3,FALSE),1)</f>
        <v>0.81272404900450645</v>
      </c>
      <c r="BV530" s="4">
        <f>AVERAGE(Granger_Inventory[[#This Row],[qual_adj]:[living_range_adj]])</f>
        <v>0.84801655569463574</v>
      </c>
      <c r="BW530" s="8">
        <f>(Granger_Inventory[[#This Row],[sum_land]]-IF(Granger_Inventory[[#This Row],[no_utilities]]=1,12000,0))/IF(Granger_Inventory[[#This Row],[unbuildable]]=1,2,1)</f>
        <v>21427.618862498482</v>
      </c>
      <c r="BX530" s="8">
        <f>Granger_Inventory[[#This Row],[pre_res]]*Granger_Inventory[[#This Row],[overall_adj]]</f>
        <v>112799.54031931915</v>
      </c>
      <c r="BY53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30">
        <f>ROUND(Granger_Inventory[[#This Row],[detatched_value]]*Lookups!$I$45,-2)</f>
        <v>0</v>
      </c>
      <c r="CA530">
        <f>IF(ROUND(Granger_Inventory[[#This Row],[adj_res]]*Lookups!$I$45,-2)&lt;Granger_Inventory[[#This Row],[min_res]],Granger_Inventory[[#This Row],[min_res]],ROUND(Granger_Inventory[[#This Row],[adj_res]]*Lookups!$I$45,-2))</f>
        <v>107200</v>
      </c>
      <c r="CB530">
        <f>Granger_Inventory[[#This Row],[final_det]]+Granger_Inventory[[#This Row],[final_res]]</f>
        <v>107200</v>
      </c>
      <c r="CC530">
        <f>Granger_Inventory[[#This Row],[final_land]]+Granger_Inventory[[#This Row],[final_imp]]+Granger_Inventory[[#This Row],[crop_value]]</f>
        <v>127600</v>
      </c>
      <c r="CE530" t="str">
        <f t="shared" si="8"/>
        <v>update valuation set market_land =20400, market_bldg=107200, market_total =127600, market_mdno =402, market_date ='9/10/2023' where link_id = (select link_id from parcel where parcel_year = '2024' and parcel_id = '21102141418');</v>
      </c>
    </row>
    <row r="531" spans="1:83" x14ac:dyDescent="0.25">
      <c r="A531">
        <v>21102141419</v>
      </c>
      <c r="B531">
        <v>0.24</v>
      </c>
      <c r="C531" t="s">
        <v>137</v>
      </c>
      <c r="D531" t="s">
        <v>137</v>
      </c>
      <c r="E531" t="s">
        <v>54</v>
      </c>
      <c r="F531" t="s">
        <v>54</v>
      </c>
      <c r="G531">
        <v>3</v>
      </c>
      <c r="H531" t="s">
        <v>55</v>
      </c>
      <c r="I531">
        <v>84200</v>
      </c>
      <c r="J531">
        <v>27200</v>
      </c>
      <c r="K531">
        <v>0.24</v>
      </c>
      <c r="L531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31">
        <v>0</v>
      </c>
      <c r="N531">
        <v>0</v>
      </c>
      <c r="O531">
        <v>0</v>
      </c>
      <c r="P531">
        <v>47108.068500000001</v>
      </c>
      <c r="Q531">
        <v>122298</v>
      </c>
      <c r="R531">
        <f>(Granger_Inventory[[#This Row],[ln_acres]]*Granger_Inventory[[#This Row],[coeff]])+Granger_Inventory[[#This Row],[const]]</f>
        <v>55069.304961033646</v>
      </c>
      <c r="S531" t="s">
        <v>69</v>
      </c>
      <c r="T531">
        <v>1</v>
      </c>
      <c r="U531" t="s">
        <v>78</v>
      </c>
      <c r="V531" t="s">
        <v>77</v>
      </c>
      <c r="W531">
        <v>0</v>
      </c>
      <c r="X531">
        <v>0</v>
      </c>
      <c r="Y531">
        <v>53</v>
      </c>
      <c r="Z531">
        <v>93</v>
      </c>
      <c r="AA531">
        <v>100</v>
      </c>
      <c r="AB531">
        <v>1000</v>
      </c>
      <c r="AC531">
        <v>980</v>
      </c>
      <c r="AD531">
        <v>980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100</v>
      </c>
      <c r="AO531">
        <v>0</v>
      </c>
      <c r="AP531">
        <v>5</v>
      </c>
      <c r="AQ531">
        <v>0</v>
      </c>
      <c r="AR531">
        <v>0</v>
      </c>
      <c r="AS531" t="s">
        <v>59</v>
      </c>
      <c r="AT531">
        <v>0</v>
      </c>
      <c r="AU531" t="s">
        <v>83</v>
      </c>
      <c r="AV531" t="s">
        <v>61</v>
      </c>
      <c r="AW531">
        <v>0</v>
      </c>
      <c r="AX531">
        <v>3</v>
      </c>
      <c r="AY531">
        <v>0</v>
      </c>
      <c r="AZ531">
        <v>7300</v>
      </c>
      <c r="BA531">
        <v>100</v>
      </c>
      <c r="BB531">
        <v>100</v>
      </c>
      <c r="BC531">
        <v>100</v>
      </c>
      <c r="BD531">
        <v>100</v>
      </c>
      <c r="BE531">
        <v>1</v>
      </c>
      <c r="BF531">
        <v>15000</v>
      </c>
      <c r="BG531">
        <v>1000</v>
      </c>
      <c r="BH531" s="8">
        <f>Granger_Inventory[[#This Row],[land_extract]]*Lookups!$B$3</f>
        <v>32806.481099880541</v>
      </c>
      <c r="BI531" s="8">
        <f>IF(Granger_Inventory[[#This Row],[bldg_style]]="",0,Lookups!$B$2)</f>
        <v>29703.559000000001</v>
      </c>
      <c r="BJ531" s="8">
        <f>_xlfn.IFNA(VLOOKUP(Granger_Inventory[[#This Row],[quality]],Lookups!$H$2:$J$14,3,FALSE),0)</f>
        <v>23737.786340274597</v>
      </c>
      <c r="BK531" s="8">
        <f>_xlfn.IFNA(VLOOKUP(Granger_Inventory[[#This Row],[condition]],Lookups!$H$17:$J$24,3,FALSE),0)</f>
        <v>33736</v>
      </c>
      <c r="BL531" s="8">
        <f>Granger_Inventory[[#This Row],[Age]]*Lookups!$B$16</f>
        <v>-19281.792300000001</v>
      </c>
      <c r="BM531" s="8">
        <f>Granger_Inventory[[#This Row],[living_area]]*Lookups!$B$17</f>
        <v>65927.450819999998</v>
      </c>
      <c r="BN531" s="8">
        <f>(Granger_Inventory[[#This Row],[att_gar]]+Granger_Inventory[[#This Row],[blt_gar]])*Lookups!$B$18</f>
        <v>0</v>
      </c>
      <c r="BO531" s="8">
        <f>Granger_Inventory[[#This Row],[Patio]]*Lookups!$B$19</f>
        <v>0</v>
      </c>
      <c r="BP531" s="8">
        <f>SUM(Granger_Inventory[[#This Row],[Intercept]:[Patio_Value]])*Granger_Inventory[[#This Row],[res_pct]]</f>
        <v>133823.00386027459</v>
      </c>
      <c r="BQ531" s="8">
        <f>Granger_Inventory[[#This Row],[land_value]]</f>
        <v>32806.481099880541</v>
      </c>
      <c r="BR531" s="4">
        <f>_xlfn.IFNA(VLOOKUP(Granger_Inventory[[#This Row],[quality]],Lookups!$A$25:$C$35,3,FALSE),1)</f>
        <v>0.77695375541795109</v>
      </c>
      <c r="BS531" s="4">
        <f>_xlfn.IFNA(VLOOKUP(Granger_Inventory[[#This Row],[condition]],Lookups!$A$38:$C$45,3,FALSE),1)</f>
        <v>0.92294678898076177</v>
      </c>
      <c r="BT531" s="4">
        <f>IF(Granger_Inventory[[#This Row],[decade]]="",1,_xlfn.IFNA(VLOOKUP(Granger_Inventory[[#This Row],[decade]],Lookups!$G$28:$I$42,3,FALSE),1))</f>
        <v>0.879441629375324</v>
      </c>
      <c r="BU531" s="4">
        <f>_xlfn.IFNA(VLOOKUP(Granger_Inventory[[#This Row],[living_area_range]],Lookups!$A$48:$C$57,3,FALSE),1)</f>
        <v>0.81272404900450645</v>
      </c>
      <c r="BV531" s="4">
        <f>AVERAGE(Granger_Inventory[[#This Row],[qual_adj]:[living_range_adj]])</f>
        <v>0.84801655569463574</v>
      </c>
      <c r="BW531" s="8">
        <f>(Granger_Inventory[[#This Row],[sum_land]]-IF(Granger_Inventory[[#This Row],[no_utilities]]=1,12000,0))/IF(Granger_Inventory[[#This Row],[unbuildable]]=1,2,1)</f>
        <v>32806.481099880541</v>
      </c>
      <c r="BX531" s="8">
        <f>Granger_Inventory[[#This Row],[pre_res]]*Granger_Inventory[[#This Row],[overall_adj]]</f>
        <v>113484.1228063</v>
      </c>
      <c r="BY531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31">
        <f>ROUND(Granger_Inventory[[#This Row],[detatched_value]]*Lookups!$I$45,-2)</f>
        <v>6900</v>
      </c>
      <c r="CA531">
        <f>IF(ROUND(Granger_Inventory[[#This Row],[adj_res]]*Lookups!$I$45,-2)&lt;Granger_Inventory[[#This Row],[min_res]],Granger_Inventory[[#This Row],[min_res]],ROUND(Granger_Inventory[[#This Row],[adj_res]]*Lookups!$I$45,-2))</f>
        <v>107800</v>
      </c>
      <c r="CB531">
        <f>Granger_Inventory[[#This Row],[final_det]]+Granger_Inventory[[#This Row],[final_res]]</f>
        <v>114700</v>
      </c>
      <c r="CC531">
        <f>Granger_Inventory[[#This Row],[final_land]]+Granger_Inventory[[#This Row],[final_imp]]+Granger_Inventory[[#This Row],[crop_value]]</f>
        <v>145900</v>
      </c>
      <c r="CE531" t="str">
        <f t="shared" si="8"/>
        <v>update valuation set market_land =31200, market_bldg=114700, market_total =145900, market_mdno =402, market_date ='9/10/2023' where link_id = (select link_id from parcel where parcel_year = '2024' and parcel_id = '21102141419');</v>
      </c>
    </row>
    <row r="532" spans="1:83" x14ac:dyDescent="0.25">
      <c r="A532">
        <v>21102141422</v>
      </c>
      <c r="B532">
        <v>0.08</v>
      </c>
      <c r="C532" t="s">
        <v>137</v>
      </c>
      <c r="D532" t="s">
        <v>137</v>
      </c>
      <c r="E532" t="s">
        <v>54</v>
      </c>
      <c r="F532" t="s">
        <v>54</v>
      </c>
      <c r="G532">
        <v>3</v>
      </c>
      <c r="H532" t="s">
        <v>55</v>
      </c>
      <c r="I532">
        <v>142500</v>
      </c>
      <c r="J532">
        <v>21100</v>
      </c>
      <c r="K532">
        <v>0.08</v>
      </c>
      <c r="L532">
        <f>IF(Granger_Inventory[[#This Row],[parcel_acres]]-Granger_Inventory[[#This Row],[non_valued_acres]] =0,0,LN(Granger_Inventory[[#This Row],[parcel_acres]]-Granger_Inventory[[#This Row],[non_valued_acres]]))</f>
        <v>-2.5257286443082556</v>
      </c>
      <c r="M532">
        <v>0</v>
      </c>
      <c r="N532">
        <v>0</v>
      </c>
      <c r="O532">
        <v>0</v>
      </c>
      <c r="P532">
        <v>47108.068500000001</v>
      </c>
      <c r="Q532">
        <v>122298</v>
      </c>
      <c r="R532">
        <f>(Granger_Inventory[[#This Row],[ln_acres]]*Granger_Inventory[[#This Row],[coeff]])+Granger_Inventory[[#This Row],[const]]</f>
        <v>3315.8020115145628</v>
      </c>
      <c r="S532" t="s">
        <v>69</v>
      </c>
      <c r="T532">
        <v>1</v>
      </c>
      <c r="U532" t="s">
        <v>78</v>
      </c>
      <c r="V532" t="s">
        <v>72</v>
      </c>
      <c r="W532">
        <v>0</v>
      </c>
      <c r="X532">
        <v>0</v>
      </c>
      <c r="Y532">
        <v>50</v>
      </c>
      <c r="Z532">
        <v>73</v>
      </c>
      <c r="AA532">
        <v>80</v>
      </c>
      <c r="AB532">
        <v>1500</v>
      </c>
      <c r="AC532">
        <v>1004</v>
      </c>
      <c r="AD532">
        <v>1004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5</v>
      </c>
      <c r="AQ532">
        <v>0</v>
      </c>
      <c r="AR532">
        <v>1</v>
      </c>
      <c r="AS532" t="s">
        <v>59</v>
      </c>
      <c r="AT532">
        <v>0</v>
      </c>
      <c r="AU532" t="s">
        <v>83</v>
      </c>
      <c r="AV532" t="s">
        <v>61</v>
      </c>
      <c r="AW532">
        <v>0</v>
      </c>
      <c r="AX532">
        <v>4</v>
      </c>
      <c r="AY532">
        <v>0</v>
      </c>
      <c r="AZ532">
        <v>0</v>
      </c>
      <c r="BA532">
        <v>100</v>
      </c>
      <c r="BB532">
        <v>100</v>
      </c>
      <c r="BC532">
        <v>100</v>
      </c>
      <c r="BD532">
        <v>100</v>
      </c>
      <c r="BE532">
        <v>1</v>
      </c>
      <c r="BF532">
        <v>15000</v>
      </c>
      <c r="BG532">
        <v>1000</v>
      </c>
      <c r="BH532" s="8">
        <f>Granger_Inventory[[#This Row],[land_extract]]*Lookups!$B$3</f>
        <v>1975.3253849611797</v>
      </c>
      <c r="BI532" s="8">
        <f>IF(Granger_Inventory[[#This Row],[bldg_style]]="",0,Lookups!$B$2)</f>
        <v>29703.559000000001</v>
      </c>
      <c r="BJ532" s="8">
        <f>_xlfn.IFNA(VLOOKUP(Granger_Inventory[[#This Row],[quality]],Lookups!$H$2:$J$14,3,FALSE),0)</f>
        <v>23737.786340274597</v>
      </c>
      <c r="BK532" s="8">
        <f>_xlfn.IFNA(VLOOKUP(Granger_Inventory[[#This Row],[condition]],Lookups!$H$17:$J$24,3,FALSE),0)</f>
        <v>94106</v>
      </c>
      <c r="BL532" s="8">
        <f>Granger_Inventory[[#This Row],[Age]]*Lookups!$B$16</f>
        <v>-15135.1703</v>
      </c>
      <c r="BM532" s="8">
        <f>Granger_Inventory[[#This Row],[living_area]]*Lookups!$B$17</f>
        <v>67542.000635999997</v>
      </c>
      <c r="BN532" s="8">
        <f>(Granger_Inventory[[#This Row],[att_gar]]+Granger_Inventory[[#This Row],[blt_gar]])*Lookups!$B$18</f>
        <v>0</v>
      </c>
      <c r="BO532" s="8">
        <f>Granger_Inventory[[#This Row],[Patio]]*Lookups!$B$19</f>
        <v>0</v>
      </c>
      <c r="BP532" s="8">
        <f>SUM(Granger_Inventory[[#This Row],[Intercept]:[Patio_Value]])*Granger_Inventory[[#This Row],[res_pct]]</f>
        <v>199954.17567627458</v>
      </c>
      <c r="BQ532" s="8">
        <f>Granger_Inventory[[#This Row],[land_value]]</f>
        <v>1975.3253849611797</v>
      </c>
      <c r="BR532" s="4">
        <f>_xlfn.IFNA(VLOOKUP(Granger_Inventory[[#This Row],[quality]],Lookups!$A$25:$C$35,3,FALSE),1)</f>
        <v>0.77695375541795109</v>
      </c>
      <c r="BS532" s="4">
        <f>_xlfn.IFNA(VLOOKUP(Granger_Inventory[[#This Row],[condition]],Lookups!$A$38:$C$45,3,FALSE),1)</f>
        <v>0.98658583151544277</v>
      </c>
      <c r="BT532" s="4">
        <f>IF(Granger_Inventory[[#This Row],[decade]]="",1,_xlfn.IFNA(VLOOKUP(Granger_Inventory[[#This Row],[decade]],Lookups!$G$28:$I$42,3,FALSE),1))</f>
        <v>0.76006056002554967</v>
      </c>
      <c r="BU532" s="4">
        <f>_xlfn.IFNA(VLOOKUP(Granger_Inventory[[#This Row],[living_area_range]],Lookups!$A$48:$C$57,3,FALSE),1)</f>
        <v>0.97960506760539345</v>
      </c>
      <c r="BV532" s="4">
        <f>AVERAGE(Granger_Inventory[[#This Row],[qual_adj]:[living_range_adj]])</f>
        <v>0.87580130364108433</v>
      </c>
      <c r="BW532" s="8">
        <f>(Granger_Inventory[[#This Row],[sum_land]]-IF(Granger_Inventory[[#This Row],[no_utilities]]=1,12000,0))/IF(Granger_Inventory[[#This Row],[unbuildable]]=1,2,1)</f>
        <v>1975.3253849611797</v>
      </c>
      <c r="BX532" s="8">
        <f>Granger_Inventory[[#This Row],[pre_res]]*Granger_Inventory[[#This Row],[overall_adj]]</f>
        <v>175120.12772575967</v>
      </c>
      <c r="BY532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532">
        <f>ROUND(Granger_Inventory[[#This Row],[detatched_value]]*Lookups!$I$45,-2)</f>
        <v>0</v>
      </c>
      <c r="CA532">
        <f>IF(ROUND(Granger_Inventory[[#This Row],[adj_res]]*Lookups!$I$45,-2)&lt;Granger_Inventory[[#This Row],[min_res]],Granger_Inventory[[#This Row],[min_res]],ROUND(Granger_Inventory[[#This Row],[adj_res]]*Lookups!$I$45,-2))</f>
        <v>166400</v>
      </c>
      <c r="CB532">
        <f>Granger_Inventory[[#This Row],[final_det]]+Granger_Inventory[[#This Row],[final_res]]</f>
        <v>166400</v>
      </c>
      <c r="CC532">
        <f>Granger_Inventory[[#This Row],[final_land]]+Granger_Inventory[[#This Row],[final_imp]]+Granger_Inventory[[#This Row],[crop_value]]</f>
        <v>181400</v>
      </c>
      <c r="CE532" t="str">
        <f t="shared" si="8"/>
        <v>update valuation set market_land =15000, market_bldg=166400, market_total =181400, market_mdno =402, market_date ='9/10/2023' where link_id = (select link_id from parcel where parcel_year = '2024' and parcel_id = '21102141422');</v>
      </c>
    </row>
    <row r="533" spans="1:83" x14ac:dyDescent="0.25">
      <c r="A533">
        <v>21102141431</v>
      </c>
      <c r="B533">
        <v>0.16</v>
      </c>
      <c r="C533" t="s">
        <v>137</v>
      </c>
      <c r="D533" t="s">
        <v>137</v>
      </c>
      <c r="E533" t="s">
        <v>54</v>
      </c>
      <c r="F533" t="s">
        <v>54</v>
      </c>
      <c r="G533">
        <v>3</v>
      </c>
      <c r="H533" t="s">
        <v>55</v>
      </c>
      <c r="I533">
        <v>96400</v>
      </c>
      <c r="J533">
        <v>25000</v>
      </c>
      <c r="K533">
        <v>0.16</v>
      </c>
      <c r="L533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33">
        <v>0</v>
      </c>
      <c r="N533">
        <v>0</v>
      </c>
      <c r="O533">
        <v>0</v>
      </c>
      <c r="P533">
        <v>47108.068500000001</v>
      </c>
      <c r="Q533">
        <v>122298</v>
      </c>
      <c r="R533">
        <f>(Granger_Inventory[[#This Row],[ln_acres]]*Granger_Inventory[[#This Row],[coeff]])+Granger_Inventory[[#This Row],[const]]</f>
        <v>35968.626873914327</v>
      </c>
      <c r="S533" t="s">
        <v>69</v>
      </c>
      <c r="T533">
        <v>1</v>
      </c>
      <c r="U533" t="s">
        <v>78</v>
      </c>
      <c r="V533" t="s">
        <v>77</v>
      </c>
      <c r="W533">
        <v>0</v>
      </c>
      <c r="X533">
        <v>0</v>
      </c>
      <c r="Y533">
        <v>50</v>
      </c>
      <c r="Z533">
        <v>73</v>
      </c>
      <c r="AA533">
        <v>80</v>
      </c>
      <c r="AB533">
        <v>1500</v>
      </c>
      <c r="AC533">
        <v>1080</v>
      </c>
      <c r="AD533">
        <v>1080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345</v>
      </c>
      <c r="AN533">
        <v>0</v>
      </c>
      <c r="AO533">
        <v>0</v>
      </c>
      <c r="AP533">
        <v>5</v>
      </c>
      <c r="AQ533">
        <v>0</v>
      </c>
      <c r="AR533">
        <v>0</v>
      </c>
      <c r="AS533" t="s">
        <v>59</v>
      </c>
      <c r="AT533">
        <v>1</v>
      </c>
      <c r="AU533" t="s">
        <v>68</v>
      </c>
      <c r="AV533" t="s">
        <v>65</v>
      </c>
      <c r="AW533">
        <v>0</v>
      </c>
      <c r="AX533">
        <v>3</v>
      </c>
      <c r="AY533">
        <v>0</v>
      </c>
      <c r="AZ533">
        <v>13100</v>
      </c>
      <c r="BA533">
        <v>100</v>
      </c>
      <c r="BB533">
        <v>100</v>
      </c>
      <c r="BC533">
        <v>100</v>
      </c>
      <c r="BD533">
        <v>100</v>
      </c>
      <c r="BE533">
        <v>1</v>
      </c>
      <c r="BF533">
        <v>15000</v>
      </c>
      <c r="BG533">
        <v>1000</v>
      </c>
      <c r="BH533" s="8">
        <f>Granger_Inventory[[#This Row],[land_extract]]*Lookups!$B$3</f>
        <v>21427.618862498482</v>
      </c>
      <c r="BI533" s="8">
        <f>IF(Granger_Inventory[[#This Row],[bldg_style]]="",0,Lookups!$B$2)</f>
        <v>29703.559000000001</v>
      </c>
      <c r="BJ533" s="8">
        <f>_xlfn.IFNA(VLOOKUP(Granger_Inventory[[#This Row],[quality]],Lookups!$H$2:$J$14,3,FALSE),0)</f>
        <v>23737.786340274597</v>
      </c>
      <c r="BK533" s="8">
        <f>_xlfn.IFNA(VLOOKUP(Granger_Inventory[[#This Row],[condition]],Lookups!$H$17:$J$24,3,FALSE),0)</f>
        <v>33736</v>
      </c>
      <c r="BL533" s="8">
        <f>Granger_Inventory[[#This Row],[Age]]*Lookups!$B$16</f>
        <v>-15135.1703</v>
      </c>
      <c r="BM533" s="8">
        <f>Granger_Inventory[[#This Row],[living_area]]*Lookups!$B$17</f>
        <v>72654.741720000005</v>
      </c>
      <c r="BN533" s="8">
        <f>(Granger_Inventory[[#This Row],[att_gar]]+Granger_Inventory[[#This Row],[blt_gar]])*Lookups!$B$18</f>
        <v>0</v>
      </c>
      <c r="BO533" s="8">
        <f>Granger_Inventory[[#This Row],[Patio]]*Lookups!$B$19</f>
        <v>18738.708119999999</v>
      </c>
      <c r="BP533" s="8">
        <f>SUM(Granger_Inventory[[#This Row],[Intercept]:[Patio_Value]])*Granger_Inventory[[#This Row],[res_pct]]</f>
        <v>163435.62488027461</v>
      </c>
      <c r="BQ533" s="8">
        <f>Granger_Inventory[[#This Row],[land_value]]</f>
        <v>21427.618862498482</v>
      </c>
      <c r="BR533" s="4">
        <f>_xlfn.IFNA(VLOOKUP(Granger_Inventory[[#This Row],[quality]],Lookups!$A$25:$C$35,3,FALSE),1)</f>
        <v>0.77695375541795109</v>
      </c>
      <c r="BS533" s="4">
        <f>_xlfn.IFNA(VLOOKUP(Granger_Inventory[[#This Row],[condition]],Lookups!$A$38:$C$45,3,FALSE),1)</f>
        <v>0.92294678898076177</v>
      </c>
      <c r="BT533" s="4">
        <f>IF(Granger_Inventory[[#This Row],[decade]]="",1,_xlfn.IFNA(VLOOKUP(Granger_Inventory[[#This Row],[decade]],Lookups!$G$28:$I$42,3,FALSE),1))</f>
        <v>0.76006056002554967</v>
      </c>
      <c r="BU533" s="4">
        <f>_xlfn.IFNA(VLOOKUP(Granger_Inventory[[#This Row],[living_area_range]],Lookups!$A$48:$C$57,3,FALSE),1)</f>
        <v>0.97960506760539345</v>
      </c>
      <c r="BV533" s="4">
        <f>AVERAGE(Granger_Inventory[[#This Row],[qual_adj]:[living_range_adj]])</f>
        <v>0.85989154300741399</v>
      </c>
      <c r="BW533" s="8">
        <f>(Granger_Inventory[[#This Row],[sum_land]]-IF(Granger_Inventory[[#This Row],[no_utilities]]=1,12000,0))/IF(Granger_Inventory[[#This Row],[unbuildable]]=1,2,1)</f>
        <v>21427.618862498482</v>
      </c>
      <c r="BX533" s="8">
        <f>Granger_Inventory[[#This Row],[pre_res]]*Granger_Inventory[[#This Row],[overall_adj]]</f>
        <v>140536.91166068023</v>
      </c>
      <c r="BY533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33">
        <f>ROUND(Granger_Inventory[[#This Row],[detatched_value]]*Lookups!$I$45,-2)</f>
        <v>12400</v>
      </c>
      <c r="CA533">
        <f>IF(ROUND(Granger_Inventory[[#This Row],[adj_res]]*Lookups!$I$45,-2)&lt;Granger_Inventory[[#This Row],[min_res]],Granger_Inventory[[#This Row],[min_res]],ROUND(Granger_Inventory[[#This Row],[adj_res]]*Lookups!$I$45,-2))</f>
        <v>133500</v>
      </c>
      <c r="CB533">
        <f>Granger_Inventory[[#This Row],[final_det]]+Granger_Inventory[[#This Row],[final_res]]</f>
        <v>145900</v>
      </c>
      <c r="CC533">
        <f>Granger_Inventory[[#This Row],[final_land]]+Granger_Inventory[[#This Row],[final_imp]]+Granger_Inventory[[#This Row],[crop_value]]</f>
        <v>166300</v>
      </c>
      <c r="CE533" t="str">
        <f t="shared" si="8"/>
        <v>update valuation set market_land =20400, market_bldg=145900, market_total =166300, market_mdno =402, market_date ='9/10/2023' where link_id = (select link_id from parcel where parcel_year = '2024' and parcel_id = '21102141431');</v>
      </c>
    </row>
    <row r="534" spans="1:83" x14ac:dyDescent="0.25">
      <c r="A534">
        <v>21102141432</v>
      </c>
      <c r="B534">
        <v>0.51</v>
      </c>
      <c r="C534">
        <v>22312</v>
      </c>
      <c r="D534" t="s">
        <v>137</v>
      </c>
      <c r="E534" t="s">
        <v>54</v>
      </c>
      <c r="F534" t="s">
        <v>54</v>
      </c>
      <c r="G534">
        <v>3</v>
      </c>
      <c r="H534" t="s">
        <v>55</v>
      </c>
      <c r="I534">
        <v>180300</v>
      </c>
      <c r="J534">
        <v>31400</v>
      </c>
      <c r="K534">
        <v>0.51</v>
      </c>
      <c r="L534">
        <f>IF(Granger_Inventory[[#This Row],[parcel_acres]]-Granger_Inventory[[#This Row],[non_valued_acres]] =0,0,LN(Granger_Inventory[[#This Row],[parcel_acres]]-Granger_Inventory[[#This Row],[non_valued_acres]]))</f>
        <v>-0.67334455326376563</v>
      </c>
      <c r="M534">
        <v>0</v>
      </c>
      <c r="N534">
        <v>0</v>
      </c>
      <c r="O534">
        <v>0</v>
      </c>
      <c r="P534">
        <v>47108.068500000001</v>
      </c>
      <c r="Q534">
        <v>122298</v>
      </c>
      <c r="R534">
        <f>(Granger_Inventory[[#This Row],[ln_acres]]*Granger_Inventory[[#This Row],[coeff]])+Granger_Inventory[[#This Row],[const]]</f>
        <v>90578.038660748629</v>
      </c>
      <c r="S534" t="s">
        <v>56</v>
      </c>
      <c r="T534">
        <v>1</v>
      </c>
      <c r="U534" t="s">
        <v>64</v>
      </c>
      <c r="V534" t="s">
        <v>77</v>
      </c>
      <c r="W534">
        <v>0</v>
      </c>
      <c r="X534">
        <v>0</v>
      </c>
      <c r="Y534">
        <v>50</v>
      </c>
      <c r="Z534">
        <v>73</v>
      </c>
      <c r="AA534">
        <v>80</v>
      </c>
      <c r="AB534">
        <v>2000</v>
      </c>
      <c r="AC534">
        <v>1896</v>
      </c>
      <c r="AD534">
        <v>1896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690</v>
      </c>
      <c r="AN534">
        <v>0</v>
      </c>
      <c r="AO534">
        <v>450</v>
      </c>
      <c r="AP534">
        <v>5</v>
      </c>
      <c r="AQ534">
        <v>0</v>
      </c>
      <c r="AR534">
        <v>0</v>
      </c>
      <c r="AS534" t="s">
        <v>59</v>
      </c>
      <c r="AT534">
        <v>1</v>
      </c>
      <c r="AU534" t="s">
        <v>63</v>
      </c>
      <c r="AV534" t="s">
        <v>65</v>
      </c>
      <c r="AW534">
        <v>1</v>
      </c>
      <c r="AX534">
        <v>4</v>
      </c>
      <c r="AY534">
        <v>0</v>
      </c>
      <c r="AZ534">
        <v>0</v>
      </c>
      <c r="BA534">
        <v>100</v>
      </c>
      <c r="BB534">
        <v>100</v>
      </c>
      <c r="BC534">
        <v>100</v>
      </c>
      <c r="BD534">
        <v>100</v>
      </c>
      <c r="BE534">
        <v>1</v>
      </c>
      <c r="BF534">
        <v>15000</v>
      </c>
      <c r="BG534">
        <v>1000</v>
      </c>
      <c r="BH534" s="8">
        <f>Granger_Inventory[[#This Row],[land_extract]]*Lookups!$B$3</f>
        <v>53960.127433798712</v>
      </c>
      <c r="BI534" s="8">
        <f>IF(Granger_Inventory[[#This Row],[bldg_style]]="",0,Lookups!$B$2)</f>
        <v>29703.559000000001</v>
      </c>
      <c r="BJ534" s="8">
        <f>_xlfn.IFNA(VLOOKUP(Granger_Inventory[[#This Row],[quality]],Lookups!$H$2:$J$14,3,FALSE),0)</f>
        <v>36568</v>
      </c>
      <c r="BK534" s="8">
        <f>_xlfn.IFNA(VLOOKUP(Granger_Inventory[[#This Row],[condition]],Lookups!$H$17:$J$24,3,FALSE),0)</f>
        <v>33736</v>
      </c>
      <c r="BL534" s="8">
        <f>Granger_Inventory[[#This Row],[Age]]*Lookups!$B$16</f>
        <v>-15135.1703</v>
      </c>
      <c r="BM534" s="8">
        <f>Granger_Inventory[[#This Row],[living_area]]*Lookups!$B$17</f>
        <v>127549.43546399999</v>
      </c>
      <c r="BN534" s="8">
        <f>(Granger_Inventory[[#This Row],[att_gar]]+Granger_Inventory[[#This Row],[blt_gar]])*Lookups!$B$18</f>
        <v>0</v>
      </c>
      <c r="BO534" s="8">
        <f>Granger_Inventory[[#This Row],[Patio]]*Lookups!$B$19</f>
        <v>37477.416239999999</v>
      </c>
      <c r="BP534" s="8">
        <f>SUM(Granger_Inventory[[#This Row],[Intercept]:[Patio_Value]])*Granger_Inventory[[#This Row],[res_pct]]</f>
        <v>249899.24040399998</v>
      </c>
      <c r="BQ534" s="8">
        <f>Granger_Inventory[[#This Row],[land_value]]</f>
        <v>53960.127433798712</v>
      </c>
      <c r="BR534" s="4">
        <f>_xlfn.IFNA(VLOOKUP(Granger_Inventory[[#This Row],[quality]],Lookups!$A$25:$C$35,3,FALSE),1)</f>
        <v>0.99049976351917957</v>
      </c>
      <c r="BS534" s="4">
        <f>_xlfn.IFNA(VLOOKUP(Granger_Inventory[[#This Row],[condition]],Lookups!$A$38:$C$45,3,FALSE),1)</f>
        <v>0.92294678898076177</v>
      </c>
      <c r="BT534" s="4">
        <f>IF(Granger_Inventory[[#This Row],[decade]]="",1,_xlfn.IFNA(VLOOKUP(Granger_Inventory[[#This Row],[decade]],Lookups!$G$28:$I$42,3,FALSE),1))</f>
        <v>0.76006056002554967</v>
      </c>
      <c r="BU534" s="4">
        <f>_xlfn.IFNA(VLOOKUP(Granger_Inventory[[#This Row],[living_area_range]],Lookups!$A$48:$C$57,3,FALSE),1)</f>
        <v>0.97860968051050168</v>
      </c>
      <c r="BV534" s="4">
        <f>AVERAGE(Granger_Inventory[[#This Row],[qual_adj]:[living_range_adj]])</f>
        <v>0.9130291982589982</v>
      </c>
      <c r="BW534" s="8">
        <f>(Granger_Inventory[[#This Row],[sum_land]]-IF(Granger_Inventory[[#This Row],[no_utilities]]=1,12000,0))/IF(Granger_Inventory[[#This Row],[unbuildable]]=1,2,1)</f>
        <v>53960.127433798712</v>
      </c>
      <c r="BX534" s="8">
        <f>Granger_Inventory[[#This Row],[pre_res]]*Granger_Inventory[[#This Row],[overall_adj]]</f>
        <v>228165.30311159676</v>
      </c>
      <c r="BY534">
        <f>IF(ROUND(Granger_Inventory[[#This Row],[adj_land]]*Lookups!$I$45,-2)&lt;Granger_Inventory[[#This Row],[min_land]],Granger_Inventory[[#This Row],[min_land]],ROUND(Granger_Inventory[[#This Row],[adj_land]]*Lookups!$I$45,-2))</f>
        <v>51300</v>
      </c>
      <c r="BZ534">
        <f>ROUND(Granger_Inventory[[#This Row],[detatched_value]]*Lookups!$I$45,-2)</f>
        <v>0</v>
      </c>
      <c r="CA534">
        <f>IF(ROUND(Granger_Inventory[[#This Row],[adj_res]]*Lookups!$I$45,-2)&lt;Granger_Inventory[[#This Row],[min_res]],Granger_Inventory[[#This Row],[min_res]],ROUND(Granger_Inventory[[#This Row],[adj_res]]*Lookups!$I$45,-2))</f>
        <v>216800</v>
      </c>
      <c r="CB534">
        <f>Granger_Inventory[[#This Row],[final_det]]+Granger_Inventory[[#This Row],[final_res]]</f>
        <v>216800</v>
      </c>
      <c r="CC534">
        <f>Granger_Inventory[[#This Row],[final_land]]+Granger_Inventory[[#This Row],[final_imp]]+Granger_Inventory[[#This Row],[crop_value]]</f>
        <v>268100</v>
      </c>
      <c r="CE534" t="str">
        <f t="shared" si="8"/>
        <v>update valuation set market_land =51300, market_bldg=216800, market_total =268100, market_mdno =402, market_date ='9/10/2023' where link_id = (select link_id from parcel where parcel_year = '2024' and parcel_id = '21102141432');</v>
      </c>
    </row>
    <row r="535" spans="1:83" x14ac:dyDescent="0.25">
      <c r="A535">
        <v>21102141435</v>
      </c>
      <c r="B535">
        <v>0.38</v>
      </c>
      <c r="C535">
        <v>16734</v>
      </c>
      <c r="D535" t="s">
        <v>137</v>
      </c>
      <c r="E535" t="s">
        <v>54</v>
      </c>
      <c r="F535" t="s">
        <v>54</v>
      </c>
      <c r="G535">
        <v>3</v>
      </c>
      <c r="H535" t="s">
        <v>55</v>
      </c>
      <c r="I535">
        <v>180300</v>
      </c>
      <c r="J535">
        <v>29800</v>
      </c>
      <c r="K535">
        <v>0.38</v>
      </c>
      <c r="L535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535">
        <v>0</v>
      </c>
      <c r="N535">
        <v>0</v>
      </c>
      <c r="O535">
        <v>0</v>
      </c>
      <c r="P535">
        <v>47108.068500000001</v>
      </c>
      <c r="Q535">
        <v>122298</v>
      </c>
      <c r="R535">
        <f>(Granger_Inventory[[#This Row],[ln_acres]]*Granger_Inventory[[#This Row],[coeff]])+Granger_Inventory[[#This Row],[const]]</f>
        <v>76716.985411357775</v>
      </c>
      <c r="S535" t="s">
        <v>59</v>
      </c>
      <c r="T535">
        <v>1</v>
      </c>
      <c r="U535" t="s">
        <v>64</v>
      </c>
      <c r="V535" t="s">
        <v>77</v>
      </c>
      <c r="W535">
        <v>0</v>
      </c>
      <c r="X535">
        <v>0</v>
      </c>
      <c r="Y535">
        <v>27</v>
      </c>
      <c r="Z535">
        <v>27</v>
      </c>
      <c r="AA535">
        <v>30</v>
      </c>
      <c r="AB535">
        <v>1500</v>
      </c>
      <c r="AC535">
        <v>1246</v>
      </c>
      <c r="AD535">
        <v>1246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96</v>
      </c>
      <c r="AN535">
        <v>98</v>
      </c>
      <c r="AO535">
        <v>0</v>
      </c>
      <c r="AP535">
        <v>10</v>
      </c>
      <c r="AQ535">
        <v>0</v>
      </c>
      <c r="AR535">
        <v>0</v>
      </c>
      <c r="AS535" t="s">
        <v>59</v>
      </c>
      <c r="AT535">
        <v>1</v>
      </c>
      <c r="AU535" t="s">
        <v>76</v>
      </c>
      <c r="AV535" t="s">
        <v>65</v>
      </c>
      <c r="AW535">
        <v>0</v>
      </c>
      <c r="AX535">
        <v>4</v>
      </c>
      <c r="AY535">
        <v>0</v>
      </c>
      <c r="AZ535">
        <v>0</v>
      </c>
      <c r="BA535">
        <v>100</v>
      </c>
      <c r="BB535">
        <v>100</v>
      </c>
      <c r="BC535">
        <v>100</v>
      </c>
      <c r="BD535">
        <v>100</v>
      </c>
      <c r="BE535">
        <v>1</v>
      </c>
      <c r="BF535">
        <v>15000</v>
      </c>
      <c r="BG535">
        <v>1000</v>
      </c>
      <c r="BH535" s="8">
        <f>Granger_Inventory[[#This Row],[land_extract]]*Lookups!$B$3</f>
        <v>45702.671092696495</v>
      </c>
      <c r="BI535" s="8">
        <f>IF(Granger_Inventory[[#This Row],[bldg_style]]="",0,Lookups!$B$2)</f>
        <v>29703.559000000001</v>
      </c>
      <c r="BJ535" s="8">
        <f>_xlfn.IFNA(VLOOKUP(Granger_Inventory[[#This Row],[quality]],Lookups!$H$2:$J$14,3,FALSE),0)</f>
        <v>36568</v>
      </c>
      <c r="BK535" s="8">
        <f>_xlfn.IFNA(VLOOKUP(Granger_Inventory[[#This Row],[condition]],Lookups!$H$17:$J$24,3,FALSE),0)</f>
        <v>33736</v>
      </c>
      <c r="BL535" s="8">
        <f>Granger_Inventory[[#This Row],[Age]]*Lookups!$B$16</f>
        <v>-5597.9396999999999</v>
      </c>
      <c r="BM535" s="8">
        <f>Granger_Inventory[[#This Row],[living_area]]*Lookups!$B$17</f>
        <v>83822.044613999999</v>
      </c>
      <c r="BN535" s="8">
        <f>(Granger_Inventory[[#This Row],[att_gar]]+Granger_Inventory[[#This Row],[blt_gar]])*Lookups!$B$18</f>
        <v>0</v>
      </c>
      <c r="BO535" s="8">
        <f>Granger_Inventory[[#This Row],[Patio]]*Lookups!$B$19</f>
        <v>5214.2492160000002</v>
      </c>
      <c r="BP535" s="8">
        <f>SUM(Granger_Inventory[[#This Row],[Intercept]:[Patio_Value]])*Granger_Inventory[[#This Row],[res_pct]]</f>
        <v>183445.91313</v>
      </c>
      <c r="BQ535" s="8">
        <f>Granger_Inventory[[#This Row],[land_value]]</f>
        <v>45702.671092696495</v>
      </c>
      <c r="BR535" s="4">
        <f>_xlfn.IFNA(VLOOKUP(Granger_Inventory[[#This Row],[quality]],Lookups!$A$25:$C$35,3,FALSE),1)</f>
        <v>0.99049976351917957</v>
      </c>
      <c r="BS535" s="4">
        <f>_xlfn.IFNA(VLOOKUP(Granger_Inventory[[#This Row],[condition]],Lookups!$A$38:$C$45,3,FALSE),1)</f>
        <v>0.92294678898076177</v>
      </c>
      <c r="BT535" s="4">
        <f>IF(Granger_Inventory[[#This Row],[decade]]="",1,_xlfn.IFNA(VLOOKUP(Granger_Inventory[[#This Row],[decade]],Lookups!$G$28:$I$42,3,FALSE),1))</f>
        <v>1.0539470644652671</v>
      </c>
      <c r="BU535" s="4">
        <f>_xlfn.IFNA(VLOOKUP(Granger_Inventory[[#This Row],[living_area_range]],Lookups!$A$48:$C$57,3,FALSE),1)</f>
        <v>0.97960506760539345</v>
      </c>
      <c r="BV535" s="4">
        <f>AVERAGE(Granger_Inventory[[#This Row],[qual_adj]:[living_range_adj]])</f>
        <v>0.98674967114265044</v>
      </c>
      <c r="BW535" s="8">
        <f>(Granger_Inventory[[#This Row],[sum_land]]-IF(Granger_Inventory[[#This Row],[no_utilities]]=1,12000,0))/IF(Granger_Inventory[[#This Row],[unbuildable]]=1,2,1)</f>
        <v>45702.671092696495</v>
      </c>
      <c r="BX535" s="8">
        <f>Granger_Inventory[[#This Row],[pre_res]]*Granger_Inventory[[#This Row],[overall_adj]]</f>
        <v>181015.19445349072</v>
      </c>
      <c r="BY535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535">
        <f>ROUND(Granger_Inventory[[#This Row],[detatched_value]]*Lookups!$I$45,-2)</f>
        <v>0</v>
      </c>
      <c r="CA535">
        <f>IF(ROUND(Granger_Inventory[[#This Row],[adj_res]]*Lookups!$I$45,-2)&lt;Granger_Inventory[[#This Row],[min_res]],Granger_Inventory[[#This Row],[min_res]],ROUND(Granger_Inventory[[#This Row],[adj_res]]*Lookups!$I$45,-2))</f>
        <v>172000</v>
      </c>
      <c r="CB535">
        <f>Granger_Inventory[[#This Row],[final_det]]+Granger_Inventory[[#This Row],[final_res]]</f>
        <v>172000</v>
      </c>
      <c r="CC535">
        <f>Granger_Inventory[[#This Row],[final_land]]+Granger_Inventory[[#This Row],[final_imp]]+Granger_Inventory[[#This Row],[crop_value]]</f>
        <v>215400</v>
      </c>
      <c r="CE535" t="str">
        <f t="shared" si="8"/>
        <v>update valuation set market_land =43400, market_bldg=172000, market_total =215400, market_mdno =402, market_date ='9/10/2023' where link_id = (select link_id from parcel where parcel_year = '2024' and parcel_id = '21102141435');</v>
      </c>
    </row>
    <row r="536" spans="1:83" x14ac:dyDescent="0.25">
      <c r="A536">
        <v>21102141436</v>
      </c>
      <c r="B536">
        <v>0.16</v>
      </c>
      <c r="C536" t="s">
        <v>137</v>
      </c>
      <c r="D536" t="s">
        <v>137</v>
      </c>
      <c r="E536" t="s">
        <v>54</v>
      </c>
      <c r="F536" t="s">
        <v>54</v>
      </c>
      <c r="G536">
        <v>3</v>
      </c>
      <c r="H536" t="s">
        <v>55</v>
      </c>
      <c r="I536">
        <v>270400</v>
      </c>
      <c r="J536">
        <v>25000</v>
      </c>
      <c r="K536">
        <v>0.16</v>
      </c>
      <c r="L53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36">
        <v>0</v>
      </c>
      <c r="N536">
        <v>0</v>
      </c>
      <c r="O536">
        <v>0</v>
      </c>
      <c r="P536">
        <v>47108.068500000001</v>
      </c>
      <c r="Q536">
        <v>122298</v>
      </c>
      <c r="R536">
        <f>(Granger_Inventory[[#This Row],[ln_acres]]*Granger_Inventory[[#This Row],[coeff]])+Granger_Inventory[[#This Row],[const]]</f>
        <v>35968.626873914327</v>
      </c>
      <c r="S536" t="s">
        <v>59</v>
      </c>
      <c r="T536">
        <v>1</v>
      </c>
      <c r="U536" t="s">
        <v>64</v>
      </c>
      <c r="V536" t="s">
        <v>72</v>
      </c>
      <c r="W536">
        <v>0</v>
      </c>
      <c r="X536">
        <v>0</v>
      </c>
      <c r="Y536">
        <v>26</v>
      </c>
      <c r="Z536">
        <v>26</v>
      </c>
      <c r="AA536">
        <v>30</v>
      </c>
      <c r="AB536">
        <v>2000</v>
      </c>
      <c r="AC536">
        <v>1682</v>
      </c>
      <c r="AD536">
        <v>1682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42</v>
      </c>
      <c r="AN536">
        <v>0</v>
      </c>
      <c r="AO536">
        <v>42</v>
      </c>
      <c r="AP536">
        <v>8</v>
      </c>
      <c r="AQ536">
        <v>0</v>
      </c>
      <c r="AR536">
        <v>0</v>
      </c>
      <c r="AS536" t="s">
        <v>59</v>
      </c>
      <c r="AT536">
        <v>1</v>
      </c>
      <c r="AU536" t="s">
        <v>63</v>
      </c>
      <c r="AV536" t="s">
        <v>65</v>
      </c>
      <c r="AW536">
        <v>1</v>
      </c>
      <c r="AX536">
        <v>5</v>
      </c>
      <c r="AY536">
        <v>0</v>
      </c>
      <c r="AZ536">
        <v>0</v>
      </c>
      <c r="BA536">
        <v>100</v>
      </c>
      <c r="BB536">
        <v>100</v>
      </c>
      <c r="BC536">
        <v>100</v>
      </c>
      <c r="BD536">
        <v>100</v>
      </c>
      <c r="BE536">
        <v>1</v>
      </c>
      <c r="BF536">
        <v>15000</v>
      </c>
      <c r="BG536">
        <v>1000</v>
      </c>
      <c r="BH536" s="8">
        <f>Granger_Inventory[[#This Row],[land_extract]]*Lookups!$B$3</f>
        <v>21427.618862498482</v>
      </c>
      <c r="BI536" s="8">
        <f>IF(Granger_Inventory[[#This Row],[bldg_style]]="",0,Lookups!$B$2)</f>
        <v>29703.559000000001</v>
      </c>
      <c r="BJ536" s="8">
        <f>_xlfn.IFNA(VLOOKUP(Granger_Inventory[[#This Row],[quality]],Lookups!$H$2:$J$14,3,FALSE),0)</f>
        <v>36568</v>
      </c>
      <c r="BK536" s="8">
        <f>_xlfn.IFNA(VLOOKUP(Granger_Inventory[[#This Row],[condition]],Lookups!$H$17:$J$24,3,FALSE),0)</f>
        <v>94106</v>
      </c>
      <c r="BL536" s="8">
        <f>Granger_Inventory[[#This Row],[Age]]*Lookups!$B$16</f>
        <v>-5390.6085999999996</v>
      </c>
      <c r="BM536" s="8">
        <f>Granger_Inventory[[#This Row],[living_area]]*Lookups!$B$17</f>
        <v>113153.032938</v>
      </c>
      <c r="BN536" s="8">
        <f>(Granger_Inventory[[#This Row],[att_gar]]+Granger_Inventory[[#This Row],[blt_gar]])*Lookups!$B$18</f>
        <v>0</v>
      </c>
      <c r="BO536" s="8">
        <f>Granger_Inventory[[#This Row],[Patio]]*Lookups!$B$19</f>
        <v>2281.2340319999998</v>
      </c>
      <c r="BP536" s="8">
        <f>SUM(Granger_Inventory[[#This Row],[Intercept]:[Patio_Value]])*Granger_Inventory[[#This Row],[res_pct]]</f>
        <v>270421.21737000003</v>
      </c>
      <c r="BQ536" s="8">
        <f>Granger_Inventory[[#This Row],[land_value]]</f>
        <v>21427.618862498482</v>
      </c>
      <c r="BR536" s="4">
        <f>_xlfn.IFNA(VLOOKUP(Granger_Inventory[[#This Row],[quality]],Lookups!$A$25:$C$35,3,FALSE),1)</f>
        <v>0.99049976351917957</v>
      </c>
      <c r="BS536" s="4">
        <f>_xlfn.IFNA(VLOOKUP(Granger_Inventory[[#This Row],[condition]],Lookups!$A$38:$C$45,3,FALSE),1)</f>
        <v>0.98658583151544277</v>
      </c>
      <c r="BT536" s="4">
        <f>IF(Granger_Inventory[[#This Row],[decade]]="",1,_xlfn.IFNA(VLOOKUP(Granger_Inventory[[#This Row],[decade]],Lookups!$G$28:$I$42,3,FALSE),1))</f>
        <v>1.0539470644652671</v>
      </c>
      <c r="BU536" s="4">
        <f>_xlfn.IFNA(VLOOKUP(Granger_Inventory[[#This Row],[living_area_range]],Lookups!$A$48:$C$57,3,FALSE),1)</f>
        <v>0.97860968051050168</v>
      </c>
      <c r="BV536" s="4">
        <f>AVERAGE(Granger_Inventory[[#This Row],[qual_adj]:[living_range_adj]])</f>
        <v>1.0024105850025977</v>
      </c>
      <c r="BW536" s="8">
        <f>(Granger_Inventory[[#This Row],[sum_land]]-IF(Granger_Inventory[[#This Row],[no_utilities]]=1,12000,0))/IF(Granger_Inventory[[#This Row],[unbuildable]]=1,2,1)</f>
        <v>21427.618862498482</v>
      </c>
      <c r="BX536" s="8">
        <f>Granger_Inventory[[#This Row],[pre_res]]*Granger_Inventory[[#This Row],[overall_adj]]</f>
        <v>271073.09070097638</v>
      </c>
      <c r="BY53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36">
        <f>ROUND(Granger_Inventory[[#This Row],[detatched_value]]*Lookups!$I$45,-2)</f>
        <v>0</v>
      </c>
      <c r="CA536">
        <f>IF(ROUND(Granger_Inventory[[#This Row],[adj_res]]*Lookups!$I$45,-2)&lt;Granger_Inventory[[#This Row],[min_res]],Granger_Inventory[[#This Row],[min_res]],ROUND(Granger_Inventory[[#This Row],[adj_res]]*Lookups!$I$45,-2))</f>
        <v>257500</v>
      </c>
      <c r="CB536">
        <f>Granger_Inventory[[#This Row],[final_det]]+Granger_Inventory[[#This Row],[final_res]]</f>
        <v>257500</v>
      </c>
      <c r="CC536">
        <f>Granger_Inventory[[#This Row],[final_land]]+Granger_Inventory[[#This Row],[final_imp]]+Granger_Inventory[[#This Row],[crop_value]]</f>
        <v>277900</v>
      </c>
      <c r="CE536" t="str">
        <f t="shared" si="8"/>
        <v>update valuation set market_land =20400, market_bldg=257500, market_total =277900, market_mdno =402, market_date ='9/10/2023' where link_id = (select link_id from parcel where parcel_year = '2024' and parcel_id = '21102141436');</v>
      </c>
    </row>
    <row r="537" spans="1:83" x14ac:dyDescent="0.25">
      <c r="A537">
        <v>21102141438</v>
      </c>
      <c r="B537">
        <v>0.24</v>
      </c>
      <c r="C537">
        <v>10500</v>
      </c>
      <c r="D537" t="s">
        <v>137</v>
      </c>
      <c r="E537" t="s">
        <v>54</v>
      </c>
      <c r="F537" t="s">
        <v>54</v>
      </c>
      <c r="G537">
        <v>3</v>
      </c>
      <c r="H537" t="s">
        <v>55</v>
      </c>
      <c r="I537">
        <v>120000</v>
      </c>
      <c r="J537">
        <v>27200</v>
      </c>
      <c r="K537">
        <v>0.24</v>
      </c>
      <c r="L537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37">
        <v>0</v>
      </c>
      <c r="N537">
        <v>0</v>
      </c>
      <c r="O537">
        <v>0</v>
      </c>
      <c r="P537">
        <v>47108.068500000001</v>
      </c>
      <c r="Q537">
        <v>122298</v>
      </c>
      <c r="R537">
        <f>(Granger_Inventory[[#This Row],[ln_acres]]*Granger_Inventory[[#This Row],[coeff]])+Granger_Inventory[[#This Row],[const]]</f>
        <v>55069.304961033646</v>
      </c>
      <c r="S537" t="s">
        <v>69</v>
      </c>
      <c r="T537">
        <v>1</v>
      </c>
      <c r="U537" t="s">
        <v>71</v>
      </c>
      <c r="V537" t="s">
        <v>79</v>
      </c>
      <c r="W537">
        <v>0</v>
      </c>
      <c r="X537">
        <v>0</v>
      </c>
      <c r="Y537">
        <v>49</v>
      </c>
      <c r="Z537">
        <v>68</v>
      </c>
      <c r="AA537">
        <v>70</v>
      </c>
      <c r="AB537">
        <v>2000</v>
      </c>
      <c r="AC537">
        <v>1512</v>
      </c>
      <c r="AD537">
        <v>1512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700</v>
      </c>
      <c r="AN537">
        <v>0</v>
      </c>
      <c r="AO537">
        <v>0</v>
      </c>
      <c r="AP537">
        <v>5</v>
      </c>
      <c r="AQ537">
        <v>1</v>
      </c>
      <c r="AR537">
        <v>0</v>
      </c>
      <c r="AS537" t="s">
        <v>59</v>
      </c>
      <c r="AT537">
        <v>1</v>
      </c>
      <c r="AU537" t="s">
        <v>60</v>
      </c>
      <c r="AV537" t="s">
        <v>61</v>
      </c>
      <c r="AW537">
        <v>0</v>
      </c>
      <c r="AX537">
        <v>3</v>
      </c>
      <c r="AY537">
        <v>0</v>
      </c>
      <c r="AZ537">
        <v>0</v>
      </c>
      <c r="BA537">
        <v>100</v>
      </c>
      <c r="BB537">
        <v>100</v>
      </c>
      <c r="BC537">
        <v>100</v>
      </c>
      <c r="BD537">
        <v>100</v>
      </c>
      <c r="BE537">
        <v>1</v>
      </c>
      <c r="BF537">
        <v>15000</v>
      </c>
      <c r="BG537">
        <v>1000</v>
      </c>
      <c r="BH537" s="8">
        <f>Granger_Inventory[[#This Row],[land_extract]]*Lookups!$B$3</f>
        <v>32806.481099880541</v>
      </c>
      <c r="BI537" s="8">
        <f>IF(Granger_Inventory[[#This Row],[bldg_style]]="",0,Lookups!$B$2)</f>
        <v>29703.559000000001</v>
      </c>
      <c r="BJ537" s="8">
        <f>_xlfn.IFNA(VLOOKUP(Granger_Inventory[[#This Row],[quality]],Lookups!$H$2:$J$14,3,FALSE),0)</f>
        <v>34195</v>
      </c>
      <c r="BK537" s="8">
        <f>_xlfn.IFNA(VLOOKUP(Granger_Inventory[[#This Row],[condition]],Lookups!$H$17:$J$24,3,FALSE),0)</f>
        <v>86727</v>
      </c>
      <c r="BL537" s="8">
        <f>Granger_Inventory[[#This Row],[Age]]*Lookups!$B$16</f>
        <v>-14098.514799999999</v>
      </c>
      <c r="BM537" s="8">
        <f>Granger_Inventory[[#This Row],[living_area]]*Lookups!$B$17</f>
        <v>101716.638408</v>
      </c>
      <c r="BN537" s="8">
        <f>(Granger_Inventory[[#This Row],[att_gar]]+Granger_Inventory[[#This Row],[blt_gar]])*Lookups!$B$18</f>
        <v>0</v>
      </c>
      <c r="BO537" s="8">
        <f>Granger_Inventory[[#This Row],[Patio]]*Lookups!$B$19</f>
        <v>38020.567199999998</v>
      </c>
      <c r="BP537" s="8">
        <f>SUM(Granger_Inventory[[#This Row],[Intercept]:[Patio_Value]])*Granger_Inventory[[#This Row],[res_pct]]</f>
        <v>276264.24980799999</v>
      </c>
      <c r="BQ537" s="8">
        <f>Granger_Inventory[[#This Row],[land_value]]</f>
        <v>32806.481099880541</v>
      </c>
      <c r="BR537" s="4">
        <f>_xlfn.IFNA(VLOOKUP(Granger_Inventory[[#This Row],[quality]],Lookups!$A$25:$C$35,3,FALSE),1)</f>
        <v>0.98258795897788032</v>
      </c>
      <c r="BS537" s="4">
        <f>_xlfn.IFNA(VLOOKUP(Granger_Inventory[[#This Row],[condition]],Lookups!$A$38:$C$45,3,FALSE),1)</f>
        <v>0.85322907131620684</v>
      </c>
      <c r="BT537" s="4">
        <f>IF(Granger_Inventory[[#This Row],[decade]]="",1,_xlfn.IFNA(VLOOKUP(Granger_Inventory[[#This Row],[decade]],Lookups!$G$28:$I$42,3,FALSE),1))</f>
        <v>1.0270382440255921</v>
      </c>
      <c r="BU537" s="4">
        <f>_xlfn.IFNA(VLOOKUP(Granger_Inventory[[#This Row],[living_area_range]],Lookups!$A$48:$C$57,3,FALSE),1)</f>
        <v>0.97860968051050168</v>
      </c>
      <c r="BV537" s="4">
        <f>AVERAGE(Granger_Inventory[[#This Row],[qual_adj]:[living_range_adj]])</f>
        <v>0.96036623870754534</v>
      </c>
      <c r="BW537" s="8">
        <f>(Granger_Inventory[[#This Row],[sum_land]]-IF(Granger_Inventory[[#This Row],[no_utilities]]=1,12000,0))/IF(Granger_Inventory[[#This Row],[unbuildable]]=1,2,1)</f>
        <v>32806.481099880541</v>
      </c>
      <c r="BX537" s="8">
        <f>Granger_Inventory[[#This Row],[pre_res]]*Granger_Inventory[[#This Row],[overall_adj]]</f>
        <v>265314.85847747064</v>
      </c>
      <c r="BY537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37">
        <f>ROUND(Granger_Inventory[[#This Row],[detatched_value]]*Lookups!$I$45,-2)</f>
        <v>0</v>
      </c>
      <c r="CA537">
        <f>IF(ROUND(Granger_Inventory[[#This Row],[adj_res]]*Lookups!$I$45,-2)&lt;Granger_Inventory[[#This Row],[min_res]],Granger_Inventory[[#This Row],[min_res]],ROUND(Granger_Inventory[[#This Row],[adj_res]]*Lookups!$I$45,-2))</f>
        <v>252000</v>
      </c>
      <c r="CB537">
        <f>Granger_Inventory[[#This Row],[final_det]]+Granger_Inventory[[#This Row],[final_res]]</f>
        <v>252000</v>
      </c>
      <c r="CC537">
        <f>Granger_Inventory[[#This Row],[final_land]]+Granger_Inventory[[#This Row],[final_imp]]+Granger_Inventory[[#This Row],[crop_value]]</f>
        <v>283200</v>
      </c>
      <c r="CE537" t="str">
        <f t="shared" si="8"/>
        <v>update valuation set market_land =31200, market_bldg=252000, market_total =283200, market_mdno =402, market_date ='9/10/2023' where link_id = (select link_id from parcel where parcel_year = '2024' and parcel_id = '21102141438');</v>
      </c>
    </row>
    <row r="538" spans="1:83" x14ac:dyDescent="0.25">
      <c r="A538">
        <v>21102141441</v>
      </c>
      <c r="B538">
        <v>0.16</v>
      </c>
      <c r="C538">
        <v>7000</v>
      </c>
      <c r="D538" t="s">
        <v>137</v>
      </c>
      <c r="E538" t="s">
        <v>54</v>
      </c>
      <c r="F538" t="s">
        <v>54</v>
      </c>
      <c r="G538">
        <v>3</v>
      </c>
      <c r="H538" t="s">
        <v>55</v>
      </c>
      <c r="I538">
        <v>2500</v>
      </c>
      <c r="J538">
        <v>25000</v>
      </c>
      <c r="K538">
        <v>0.16</v>
      </c>
      <c r="L53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38">
        <v>0</v>
      </c>
      <c r="N538">
        <v>0</v>
      </c>
      <c r="O538">
        <v>0</v>
      </c>
      <c r="P538">
        <v>47108.068500000001</v>
      </c>
      <c r="Q538">
        <v>122298</v>
      </c>
      <c r="R538">
        <f>(Granger_Inventory[[#This Row],[ln_acres]]*Granger_Inventory[[#This Row],[coeff]])+Granger_Inventory[[#This Row],[const]]</f>
        <v>35968.626873914327</v>
      </c>
      <c r="S538" t="s">
        <v>69</v>
      </c>
      <c r="T538">
        <v>1</v>
      </c>
      <c r="U538" t="s">
        <v>106</v>
      </c>
      <c r="V538" t="s">
        <v>82</v>
      </c>
      <c r="W538">
        <v>0</v>
      </c>
      <c r="X538">
        <v>0</v>
      </c>
      <c r="Y538">
        <v>53</v>
      </c>
      <c r="Z538">
        <v>93</v>
      </c>
      <c r="AA538">
        <v>100</v>
      </c>
      <c r="AB538">
        <v>1000</v>
      </c>
      <c r="AC538">
        <v>816</v>
      </c>
      <c r="AD538">
        <v>816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5</v>
      </c>
      <c r="AQ538">
        <v>0</v>
      </c>
      <c r="AR538">
        <v>0</v>
      </c>
      <c r="AS538" t="s">
        <v>59</v>
      </c>
      <c r="AT538">
        <v>0</v>
      </c>
      <c r="AU538" t="s">
        <v>83</v>
      </c>
      <c r="AV538" t="s">
        <v>65</v>
      </c>
      <c r="AW538">
        <v>0</v>
      </c>
      <c r="AX538">
        <v>3</v>
      </c>
      <c r="AY538">
        <v>0</v>
      </c>
      <c r="AZ538">
        <v>1900</v>
      </c>
      <c r="BA538">
        <v>100</v>
      </c>
      <c r="BB538">
        <v>100</v>
      </c>
      <c r="BC538">
        <v>100</v>
      </c>
      <c r="BD538">
        <v>100</v>
      </c>
      <c r="BE538">
        <v>1</v>
      </c>
      <c r="BF538">
        <v>15000</v>
      </c>
      <c r="BG538">
        <v>1000</v>
      </c>
      <c r="BH538" s="8">
        <f>Granger_Inventory[[#This Row],[land_extract]]*Lookups!$B$3</f>
        <v>21427.618862498482</v>
      </c>
      <c r="BI538" s="8">
        <f>IF(Granger_Inventory[[#This Row],[bldg_style]]="",0,Lookups!$B$2)</f>
        <v>29703.559000000001</v>
      </c>
      <c r="BJ538" s="8">
        <f>_xlfn.IFNA(VLOOKUP(Granger_Inventory[[#This Row],[quality]],Lookups!$H$2:$J$14,3,FALSE),0)</f>
        <v>17985.540667792327</v>
      </c>
      <c r="BK538" s="8">
        <f>_xlfn.IFNA(VLOOKUP(Granger_Inventory[[#This Row],[condition]],Lookups!$H$17:$J$24,3,FALSE),0)</f>
        <v>27308</v>
      </c>
      <c r="BL538" s="8">
        <f>Granger_Inventory[[#This Row],[Age]]*Lookups!$B$16</f>
        <v>-19281.792300000001</v>
      </c>
      <c r="BM538" s="8">
        <f>Granger_Inventory[[#This Row],[living_area]]*Lookups!$B$17</f>
        <v>54894.693743999997</v>
      </c>
      <c r="BN538" s="8">
        <f>(Granger_Inventory[[#This Row],[att_gar]]+Granger_Inventory[[#This Row],[blt_gar]])*Lookups!$B$18</f>
        <v>0</v>
      </c>
      <c r="BO538" s="8">
        <f>Granger_Inventory[[#This Row],[Patio]]*Lookups!$B$19</f>
        <v>0</v>
      </c>
      <c r="BP538" s="8">
        <f>SUM(Granger_Inventory[[#This Row],[Intercept]:[Patio_Value]])*Granger_Inventory[[#This Row],[res_pct]]</f>
        <v>110610.00111179231</v>
      </c>
      <c r="BQ538" s="8">
        <f>Granger_Inventory[[#This Row],[land_value]]</f>
        <v>21427.618862498482</v>
      </c>
      <c r="BR538" s="4">
        <f>_xlfn.IFNA(VLOOKUP(Granger_Inventory[[#This Row],[quality]],Lookups!$A$25:$C$35,3,FALSE),1)</f>
        <v>0.77695375541795109</v>
      </c>
      <c r="BS538" s="4">
        <f>_xlfn.IFNA(VLOOKUP(Granger_Inventory[[#This Row],[condition]],Lookups!$A$38:$C$45,3,FALSE),1)</f>
        <v>0.59507759803100935</v>
      </c>
      <c r="BT538" s="4">
        <f>IF(Granger_Inventory[[#This Row],[decade]]="",1,_xlfn.IFNA(VLOOKUP(Granger_Inventory[[#This Row],[decade]],Lookups!$G$28:$I$42,3,FALSE),1))</f>
        <v>0.879441629375324</v>
      </c>
      <c r="BU538" s="4">
        <f>_xlfn.IFNA(VLOOKUP(Granger_Inventory[[#This Row],[living_area_range]],Lookups!$A$48:$C$57,3,FALSE),1)</f>
        <v>0.81272404900450645</v>
      </c>
      <c r="BV538" s="4">
        <f>AVERAGE(Granger_Inventory[[#This Row],[qual_adj]:[living_range_adj]])</f>
        <v>0.7660492579571978</v>
      </c>
      <c r="BW538" s="8">
        <f>(Granger_Inventory[[#This Row],[sum_land]]-IF(Granger_Inventory[[#This Row],[no_utilities]]=1,12000,0))/IF(Granger_Inventory[[#This Row],[unbuildable]]=1,2,1)</f>
        <v>21427.618862498482</v>
      </c>
      <c r="BX538" s="8">
        <f>Granger_Inventory[[#This Row],[pre_res]]*Granger_Inventory[[#This Row],[overall_adj]]</f>
        <v>84732.70927433332</v>
      </c>
      <c r="BY53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38">
        <f>ROUND(Granger_Inventory[[#This Row],[detatched_value]]*Lookups!$I$45,-2)</f>
        <v>1800</v>
      </c>
      <c r="CA538">
        <f>IF(ROUND(Granger_Inventory[[#This Row],[adj_res]]*Lookups!$I$45,-2)&lt;Granger_Inventory[[#This Row],[min_res]],Granger_Inventory[[#This Row],[min_res]],ROUND(Granger_Inventory[[#This Row],[adj_res]]*Lookups!$I$45,-2))</f>
        <v>80500</v>
      </c>
      <c r="CB538">
        <f>Granger_Inventory[[#This Row],[final_det]]+Granger_Inventory[[#This Row],[final_res]]</f>
        <v>82300</v>
      </c>
      <c r="CC538">
        <f>Granger_Inventory[[#This Row],[final_land]]+Granger_Inventory[[#This Row],[final_imp]]+Granger_Inventory[[#This Row],[crop_value]]</f>
        <v>102700</v>
      </c>
      <c r="CE538" t="str">
        <f t="shared" si="8"/>
        <v>update valuation set market_land =20400, market_bldg=82300, market_total =102700, market_mdno =402, market_date ='9/10/2023' where link_id = (select link_id from parcel where parcel_year = '2024' and parcel_id = '21102141441');</v>
      </c>
    </row>
    <row r="539" spans="1:83" x14ac:dyDescent="0.25">
      <c r="A539">
        <v>21102141448</v>
      </c>
      <c r="B539">
        <v>0.2</v>
      </c>
      <c r="C539">
        <v>8700</v>
      </c>
      <c r="D539" t="s">
        <v>137</v>
      </c>
      <c r="E539" t="s">
        <v>54</v>
      </c>
      <c r="F539" t="s">
        <v>54</v>
      </c>
      <c r="G539">
        <v>3</v>
      </c>
      <c r="H539" t="s">
        <v>55</v>
      </c>
      <c r="I539">
        <v>56400</v>
      </c>
      <c r="J539">
        <v>26200</v>
      </c>
      <c r="K539">
        <v>0.2</v>
      </c>
      <c r="L539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539">
        <v>0</v>
      </c>
      <c r="N539">
        <v>0</v>
      </c>
      <c r="O539">
        <v>0</v>
      </c>
      <c r="P539">
        <v>47108.068500000001</v>
      </c>
      <c r="Q539">
        <v>122298</v>
      </c>
      <c r="R539">
        <f>(Granger_Inventory[[#This Row],[ln_acres]]*Granger_Inventory[[#This Row],[coeff]])+Granger_Inventory[[#This Row],[const]]</f>
        <v>46480.488574557399</v>
      </c>
      <c r="S539" t="s">
        <v>69</v>
      </c>
      <c r="T539">
        <v>1</v>
      </c>
      <c r="U539" t="s">
        <v>78</v>
      </c>
      <c r="V539" t="s">
        <v>77</v>
      </c>
      <c r="W539">
        <v>0</v>
      </c>
      <c r="X539">
        <v>0</v>
      </c>
      <c r="Y539">
        <v>50</v>
      </c>
      <c r="Z539">
        <v>73</v>
      </c>
      <c r="AA539">
        <v>80</v>
      </c>
      <c r="AB539">
        <v>1000</v>
      </c>
      <c r="AC539">
        <v>896</v>
      </c>
      <c r="AD539">
        <v>896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5</v>
      </c>
      <c r="AQ539">
        <v>0</v>
      </c>
      <c r="AR539">
        <v>0</v>
      </c>
      <c r="AS539" t="s">
        <v>59</v>
      </c>
      <c r="AT539">
        <v>0</v>
      </c>
      <c r="AU539" t="s">
        <v>83</v>
      </c>
      <c r="AV539" t="s">
        <v>65</v>
      </c>
      <c r="AW539">
        <v>0</v>
      </c>
      <c r="AX539">
        <v>2</v>
      </c>
      <c r="AY539">
        <v>0</v>
      </c>
      <c r="AZ539">
        <v>1900</v>
      </c>
      <c r="BA539">
        <v>100</v>
      </c>
      <c r="BB539">
        <v>100</v>
      </c>
      <c r="BC539">
        <v>100</v>
      </c>
      <c r="BD539">
        <v>100</v>
      </c>
      <c r="BE539">
        <v>1</v>
      </c>
      <c r="BF539">
        <v>15000</v>
      </c>
      <c r="BG539">
        <v>1000</v>
      </c>
      <c r="BH539" s="8">
        <f>Granger_Inventory[[#This Row],[land_extract]]*Lookups!$B$3</f>
        <v>27689.858642911939</v>
      </c>
      <c r="BI539" s="8">
        <f>IF(Granger_Inventory[[#This Row],[bldg_style]]="",0,Lookups!$B$2)</f>
        <v>29703.559000000001</v>
      </c>
      <c r="BJ539" s="8">
        <f>_xlfn.IFNA(VLOOKUP(Granger_Inventory[[#This Row],[quality]],Lookups!$H$2:$J$14,3,FALSE),0)</f>
        <v>23737.786340274597</v>
      </c>
      <c r="BK539" s="8">
        <f>_xlfn.IFNA(VLOOKUP(Granger_Inventory[[#This Row],[condition]],Lookups!$H$17:$J$24,3,FALSE),0)</f>
        <v>33736</v>
      </c>
      <c r="BL539" s="8">
        <f>Granger_Inventory[[#This Row],[Age]]*Lookups!$B$16</f>
        <v>-15135.1703</v>
      </c>
      <c r="BM539" s="8">
        <f>Granger_Inventory[[#This Row],[living_area]]*Lookups!$B$17</f>
        <v>60276.526463999995</v>
      </c>
      <c r="BN539" s="8">
        <f>(Granger_Inventory[[#This Row],[att_gar]]+Granger_Inventory[[#This Row],[blt_gar]])*Lookups!$B$18</f>
        <v>0</v>
      </c>
      <c r="BO539" s="8">
        <f>Granger_Inventory[[#This Row],[Patio]]*Lookups!$B$19</f>
        <v>0</v>
      </c>
      <c r="BP539" s="8">
        <f>SUM(Granger_Inventory[[#This Row],[Intercept]:[Patio_Value]])*Granger_Inventory[[#This Row],[res_pct]]</f>
        <v>132318.70150427459</v>
      </c>
      <c r="BQ539" s="8">
        <f>Granger_Inventory[[#This Row],[land_value]]</f>
        <v>27689.858642911939</v>
      </c>
      <c r="BR539" s="4">
        <f>_xlfn.IFNA(VLOOKUP(Granger_Inventory[[#This Row],[quality]],Lookups!$A$25:$C$35,3,FALSE),1)</f>
        <v>0.77695375541795109</v>
      </c>
      <c r="BS539" s="4">
        <f>_xlfn.IFNA(VLOOKUP(Granger_Inventory[[#This Row],[condition]],Lookups!$A$38:$C$45,3,FALSE),1)</f>
        <v>0.92294678898076177</v>
      </c>
      <c r="BT539" s="4">
        <f>IF(Granger_Inventory[[#This Row],[decade]]="",1,_xlfn.IFNA(VLOOKUP(Granger_Inventory[[#This Row],[decade]],Lookups!$G$28:$I$42,3,FALSE),1))</f>
        <v>0.76006056002554967</v>
      </c>
      <c r="BU539" s="4">
        <f>_xlfn.IFNA(VLOOKUP(Granger_Inventory[[#This Row],[living_area_range]],Lookups!$A$48:$C$57,3,FALSE),1)</f>
        <v>0.81272404900450645</v>
      </c>
      <c r="BV539" s="4">
        <f>AVERAGE(Granger_Inventory[[#This Row],[qual_adj]:[living_range_adj]])</f>
        <v>0.81817128835719222</v>
      </c>
      <c r="BW539" s="8">
        <f>(Granger_Inventory[[#This Row],[sum_land]]-IF(Granger_Inventory[[#This Row],[no_utilities]]=1,12000,0))/IF(Granger_Inventory[[#This Row],[unbuildable]]=1,2,1)</f>
        <v>27689.858642911939</v>
      </c>
      <c r="BX539" s="8">
        <f>Granger_Inventory[[#This Row],[pre_res]]*Granger_Inventory[[#This Row],[overall_adj]]</f>
        <v>108259.36248350309</v>
      </c>
      <c r="BY539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539">
        <f>ROUND(Granger_Inventory[[#This Row],[detatched_value]]*Lookups!$I$45,-2)</f>
        <v>1800</v>
      </c>
      <c r="CA539">
        <f>IF(ROUND(Granger_Inventory[[#This Row],[adj_res]]*Lookups!$I$45,-2)&lt;Granger_Inventory[[#This Row],[min_res]],Granger_Inventory[[#This Row],[min_res]],ROUND(Granger_Inventory[[#This Row],[adj_res]]*Lookups!$I$45,-2))</f>
        <v>102800</v>
      </c>
      <c r="CB539">
        <f>Granger_Inventory[[#This Row],[final_det]]+Granger_Inventory[[#This Row],[final_res]]</f>
        <v>104600</v>
      </c>
      <c r="CC539">
        <f>Granger_Inventory[[#This Row],[final_land]]+Granger_Inventory[[#This Row],[final_imp]]+Granger_Inventory[[#This Row],[crop_value]]</f>
        <v>130900</v>
      </c>
      <c r="CE539" t="str">
        <f t="shared" si="8"/>
        <v>update valuation set market_land =26300, market_bldg=104600, market_total =130900, market_mdno =402, market_date ='9/10/2023' where link_id = (select link_id from parcel where parcel_year = '2024' and parcel_id = '21102141448');</v>
      </c>
    </row>
    <row r="540" spans="1:83" x14ac:dyDescent="0.25">
      <c r="A540">
        <v>21102141450</v>
      </c>
      <c r="B540">
        <v>0.52</v>
      </c>
      <c r="C540" t="s">
        <v>137</v>
      </c>
      <c r="D540" t="s">
        <v>137</v>
      </c>
      <c r="E540" t="s">
        <v>54</v>
      </c>
      <c r="F540" t="s">
        <v>54</v>
      </c>
      <c r="G540">
        <v>3</v>
      </c>
      <c r="H540" t="s">
        <v>55</v>
      </c>
      <c r="I540">
        <v>78100</v>
      </c>
      <c r="J540">
        <v>31500</v>
      </c>
      <c r="K540">
        <v>0.52</v>
      </c>
      <c r="L540">
        <f>IF(Granger_Inventory[[#This Row],[parcel_acres]]-Granger_Inventory[[#This Row],[non_valued_acres]] =0,0,LN(Granger_Inventory[[#This Row],[parcel_acres]]-Granger_Inventory[[#This Row],[non_valued_acres]]))</f>
        <v>-0.65392646740666394</v>
      </c>
      <c r="M540">
        <v>0</v>
      </c>
      <c r="N540">
        <v>0</v>
      </c>
      <c r="O540">
        <v>0</v>
      </c>
      <c r="P540">
        <v>47108.068500000001</v>
      </c>
      <c r="Q540">
        <v>122298</v>
      </c>
      <c r="R540">
        <f>(Granger_Inventory[[#This Row],[ln_acres]]*Granger_Inventory[[#This Row],[coeff]])+Granger_Inventory[[#This Row],[const]]</f>
        <v>91492.787179443854</v>
      </c>
      <c r="S540" t="s">
        <v>69</v>
      </c>
      <c r="T540">
        <v>1</v>
      </c>
      <c r="U540" t="s">
        <v>78</v>
      </c>
      <c r="V540" t="s">
        <v>77</v>
      </c>
      <c r="W540">
        <v>0</v>
      </c>
      <c r="X540">
        <v>0</v>
      </c>
      <c r="Y540">
        <v>53</v>
      </c>
      <c r="Z540">
        <v>93</v>
      </c>
      <c r="AA540">
        <v>100</v>
      </c>
      <c r="AB540">
        <v>1500</v>
      </c>
      <c r="AC540">
        <v>1296</v>
      </c>
      <c r="AD540">
        <v>864</v>
      </c>
      <c r="AE540">
        <v>0</v>
      </c>
      <c r="AF540">
        <v>0</v>
      </c>
      <c r="AG540">
        <v>432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264</v>
      </c>
      <c r="AN540">
        <v>0</v>
      </c>
      <c r="AO540">
        <v>264</v>
      </c>
      <c r="AP540">
        <v>5</v>
      </c>
      <c r="AQ540">
        <v>1</v>
      </c>
      <c r="AR540">
        <v>0</v>
      </c>
      <c r="AS540" t="s">
        <v>59</v>
      </c>
      <c r="AT540">
        <v>0</v>
      </c>
      <c r="AU540" t="s">
        <v>83</v>
      </c>
      <c r="AV540" t="s">
        <v>65</v>
      </c>
      <c r="AW540">
        <v>0</v>
      </c>
      <c r="AX540">
        <v>2</v>
      </c>
      <c r="AY540">
        <v>0</v>
      </c>
      <c r="AZ540">
        <v>0</v>
      </c>
      <c r="BA540">
        <v>100</v>
      </c>
      <c r="BB540">
        <v>100</v>
      </c>
      <c r="BC540">
        <v>100</v>
      </c>
      <c r="BD540">
        <v>100</v>
      </c>
      <c r="BE540">
        <v>1</v>
      </c>
      <c r="BF540">
        <v>15000</v>
      </c>
      <c r="BG540">
        <v>1000</v>
      </c>
      <c r="BH540" s="8">
        <f>Granger_Inventory[[#This Row],[land_extract]]*Lookups!$B$3</f>
        <v>54505.071300639829</v>
      </c>
      <c r="BI540" s="8">
        <f>IF(Granger_Inventory[[#This Row],[bldg_style]]="",0,Lookups!$B$2)</f>
        <v>29703.559000000001</v>
      </c>
      <c r="BJ540" s="8">
        <f>_xlfn.IFNA(VLOOKUP(Granger_Inventory[[#This Row],[quality]],Lookups!$H$2:$J$14,3,FALSE),0)</f>
        <v>23737.786340274597</v>
      </c>
      <c r="BK540" s="8">
        <f>_xlfn.IFNA(VLOOKUP(Granger_Inventory[[#This Row],[condition]],Lookups!$H$17:$J$24,3,FALSE),0)</f>
        <v>33736</v>
      </c>
      <c r="BL540" s="8">
        <f>Granger_Inventory[[#This Row],[Age]]*Lookups!$B$16</f>
        <v>-19281.792300000001</v>
      </c>
      <c r="BM540" s="8">
        <f>Granger_Inventory[[#This Row],[living_area]]*Lookups!$B$17</f>
        <v>87185.690063999995</v>
      </c>
      <c r="BN540" s="8">
        <f>(Granger_Inventory[[#This Row],[att_gar]]+Granger_Inventory[[#This Row],[blt_gar]])*Lookups!$B$18</f>
        <v>0</v>
      </c>
      <c r="BO540" s="8">
        <f>Granger_Inventory[[#This Row],[Patio]]*Lookups!$B$19</f>
        <v>14339.185344</v>
      </c>
      <c r="BP540" s="8">
        <f>SUM(Granger_Inventory[[#This Row],[Intercept]:[Patio_Value]])*Granger_Inventory[[#This Row],[res_pct]]</f>
        <v>169420.42844827459</v>
      </c>
      <c r="BQ540" s="8">
        <f>Granger_Inventory[[#This Row],[land_value]]</f>
        <v>54505.071300639829</v>
      </c>
      <c r="BR540" s="4">
        <f>_xlfn.IFNA(VLOOKUP(Granger_Inventory[[#This Row],[quality]],Lookups!$A$25:$C$35,3,FALSE),1)</f>
        <v>0.77695375541795109</v>
      </c>
      <c r="BS540" s="4">
        <f>_xlfn.IFNA(VLOOKUP(Granger_Inventory[[#This Row],[condition]],Lookups!$A$38:$C$45,3,FALSE),1)</f>
        <v>0.92294678898076177</v>
      </c>
      <c r="BT540" s="4">
        <f>IF(Granger_Inventory[[#This Row],[decade]]="",1,_xlfn.IFNA(VLOOKUP(Granger_Inventory[[#This Row],[decade]],Lookups!$G$28:$I$42,3,FALSE),1))</f>
        <v>0.879441629375324</v>
      </c>
      <c r="BU540" s="4">
        <f>_xlfn.IFNA(VLOOKUP(Granger_Inventory[[#This Row],[living_area_range]],Lookups!$A$48:$C$57,3,FALSE),1)</f>
        <v>0.97960506760539345</v>
      </c>
      <c r="BV540" s="4">
        <f>AVERAGE(Granger_Inventory[[#This Row],[qual_adj]:[living_range_adj]])</f>
        <v>0.88973681034485752</v>
      </c>
      <c r="BW540" s="8">
        <f>(Granger_Inventory[[#This Row],[sum_land]]-IF(Granger_Inventory[[#This Row],[no_utilities]]=1,12000,0))/IF(Granger_Inventory[[#This Row],[unbuildable]]=1,2,1)</f>
        <v>54505.071300639829</v>
      </c>
      <c r="BX540" s="8">
        <f>Granger_Inventory[[#This Row],[pre_res]]*Granger_Inventory[[#This Row],[overall_adj]]</f>
        <v>150739.59161482699</v>
      </c>
      <c r="BY540">
        <f>IF(ROUND(Granger_Inventory[[#This Row],[adj_land]]*Lookups!$I$45,-2)&lt;Granger_Inventory[[#This Row],[min_land]],Granger_Inventory[[#This Row],[min_land]],ROUND(Granger_Inventory[[#This Row],[adj_land]]*Lookups!$I$45,-2))</f>
        <v>51800</v>
      </c>
      <c r="BZ540">
        <f>ROUND(Granger_Inventory[[#This Row],[detatched_value]]*Lookups!$I$45,-2)</f>
        <v>0</v>
      </c>
      <c r="CA540">
        <f>IF(ROUND(Granger_Inventory[[#This Row],[adj_res]]*Lookups!$I$45,-2)&lt;Granger_Inventory[[#This Row],[min_res]],Granger_Inventory[[#This Row],[min_res]],ROUND(Granger_Inventory[[#This Row],[adj_res]]*Lookups!$I$45,-2))</f>
        <v>143200</v>
      </c>
      <c r="CB540">
        <f>Granger_Inventory[[#This Row],[final_det]]+Granger_Inventory[[#This Row],[final_res]]</f>
        <v>143200</v>
      </c>
      <c r="CC540">
        <f>Granger_Inventory[[#This Row],[final_land]]+Granger_Inventory[[#This Row],[final_imp]]+Granger_Inventory[[#This Row],[crop_value]]</f>
        <v>195000</v>
      </c>
      <c r="CE540" t="str">
        <f t="shared" si="8"/>
        <v>update valuation set market_land =51800, market_bldg=143200, market_total =195000, market_mdno =402, market_date ='9/10/2023' where link_id = (select link_id from parcel where parcel_year = '2024' and parcel_id = '21102141450');</v>
      </c>
    </row>
    <row r="541" spans="1:83" x14ac:dyDescent="0.25">
      <c r="A541">
        <v>21102141467</v>
      </c>
      <c r="B541">
        <v>0.54</v>
      </c>
      <c r="C541">
        <v>23679</v>
      </c>
      <c r="D541" t="s">
        <v>137</v>
      </c>
      <c r="E541" t="s">
        <v>54</v>
      </c>
      <c r="F541" t="s">
        <v>54</v>
      </c>
      <c r="G541">
        <v>3</v>
      </c>
      <c r="H541" t="s">
        <v>55</v>
      </c>
      <c r="I541">
        <v>161200</v>
      </c>
      <c r="J541">
        <v>31700</v>
      </c>
      <c r="K541">
        <v>0.54</v>
      </c>
      <c r="L541">
        <f>IF(Granger_Inventory[[#This Row],[parcel_acres]]-Granger_Inventory[[#This Row],[non_valued_acres]] =0,0,LN(Granger_Inventory[[#This Row],[parcel_acres]]-Granger_Inventory[[#This Row],[non_valued_acres]]))</f>
        <v>-0.61618613942381695</v>
      </c>
      <c r="M541">
        <v>0</v>
      </c>
      <c r="N541">
        <v>0</v>
      </c>
      <c r="O541">
        <v>0</v>
      </c>
      <c r="P541">
        <v>47108.068500000001</v>
      </c>
      <c r="Q541">
        <v>122298</v>
      </c>
      <c r="R541">
        <f>(Granger_Inventory[[#This Row],[ln_acres]]*Granger_Inventory[[#This Row],[coeff]])+Granger_Inventory[[#This Row],[const]]</f>
        <v>93270.661135272283</v>
      </c>
      <c r="S541" t="s">
        <v>56</v>
      </c>
      <c r="T541">
        <v>1</v>
      </c>
      <c r="U541" t="s">
        <v>78</v>
      </c>
      <c r="V541" t="s">
        <v>72</v>
      </c>
      <c r="W541">
        <v>0</v>
      </c>
      <c r="X541">
        <v>0</v>
      </c>
      <c r="Y541">
        <v>45</v>
      </c>
      <c r="Z541">
        <v>50</v>
      </c>
      <c r="AA541">
        <v>50</v>
      </c>
      <c r="AB541">
        <v>1500</v>
      </c>
      <c r="AC541">
        <v>1428</v>
      </c>
      <c r="AD541">
        <v>1428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5</v>
      </c>
      <c r="AQ541">
        <v>0</v>
      </c>
      <c r="AR541">
        <v>0</v>
      </c>
      <c r="AS541" t="s">
        <v>59</v>
      </c>
      <c r="AT541">
        <v>1</v>
      </c>
      <c r="AU541" t="s">
        <v>68</v>
      </c>
      <c r="AV541" t="s">
        <v>65</v>
      </c>
      <c r="AW541">
        <v>0</v>
      </c>
      <c r="AX541">
        <v>4</v>
      </c>
      <c r="AY541">
        <v>0</v>
      </c>
      <c r="AZ541">
        <v>0</v>
      </c>
      <c r="BA541">
        <v>100</v>
      </c>
      <c r="BB541">
        <v>100</v>
      </c>
      <c r="BC541">
        <v>100</v>
      </c>
      <c r="BD541">
        <v>100</v>
      </c>
      <c r="BE541">
        <v>1</v>
      </c>
      <c r="BF541">
        <v>15000</v>
      </c>
      <c r="BG541">
        <v>1000</v>
      </c>
      <c r="BH541" s="8">
        <f>Granger_Inventory[[#This Row],[land_extract]]*Lookups!$B$3</f>
        <v>55564.205574644664</v>
      </c>
      <c r="BI541" s="8">
        <f>IF(Granger_Inventory[[#This Row],[bldg_style]]="",0,Lookups!$B$2)</f>
        <v>29703.559000000001</v>
      </c>
      <c r="BJ541" s="8">
        <f>_xlfn.IFNA(VLOOKUP(Granger_Inventory[[#This Row],[quality]],Lookups!$H$2:$J$14,3,FALSE),0)</f>
        <v>23737.786340274597</v>
      </c>
      <c r="BK541" s="8">
        <f>_xlfn.IFNA(VLOOKUP(Granger_Inventory[[#This Row],[condition]],Lookups!$H$17:$J$24,3,FALSE),0)</f>
        <v>94106</v>
      </c>
      <c r="BL541" s="8">
        <f>Granger_Inventory[[#This Row],[Age]]*Lookups!$B$16</f>
        <v>-10366.555</v>
      </c>
      <c r="BM541" s="8">
        <f>Granger_Inventory[[#This Row],[living_area]]*Lookups!$B$17</f>
        <v>96065.714051999996</v>
      </c>
      <c r="BN541" s="8">
        <f>(Granger_Inventory[[#This Row],[att_gar]]+Granger_Inventory[[#This Row],[blt_gar]])*Lookups!$B$18</f>
        <v>0</v>
      </c>
      <c r="BO541" s="8">
        <f>Granger_Inventory[[#This Row],[Patio]]*Lookups!$B$19</f>
        <v>0</v>
      </c>
      <c r="BP541" s="8">
        <f>SUM(Granger_Inventory[[#This Row],[Intercept]:[Patio_Value]])*Granger_Inventory[[#This Row],[res_pct]]</f>
        <v>233246.5043922746</v>
      </c>
      <c r="BQ541" s="8">
        <f>Granger_Inventory[[#This Row],[land_value]]</f>
        <v>55564.205574644664</v>
      </c>
      <c r="BR541" s="4">
        <f>_xlfn.IFNA(VLOOKUP(Granger_Inventory[[#This Row],[quality]],Lookups!$A$25:$C$35,3,FALSE),1)</f>
        <v>0.77695375541795109</v>
      </c>
      <c r="BS541" s="4">
        <f>_xlfn.IFNA(VLOOKUP(Granger_Inventory[[#This Row],[condition]],Lookups!$A$38:$C$45,3,FALSE),1)</f>
        <v>0.98658583151544277</v>
      </c>
      <c r="BT541" s="4">
        <f>IF(Granger_Inventory[[#This Row],[decade]]="",1,_xlfn.IFNA(VLOOKUP(Granger_Inventory[[#This Row],[decade]],Lookups!$G$28:$I$42,3,FALSE),1))</f>
        <v>1.2441094871772171</v>
      </c>
      <c r="BU541" s="4">
        <f>_xlfn.IFNA(VLOOKUP(Granger_Inventory[[#This Row],[living_area_range]],Lookups!$A$48:$C$57,3,FALSE),1)</f>
        <v>0.97960506760539345</v>
      </c>
      <c r="BV541" s="4">
        <f>AVERAGE(Granger_Inventory[[#This Row],[qual_adj]:[living_range_adj]])</f>
        <v>0.99681353542900109</v>
      </c>
      <c r="BW541" s="8">
        <f>(Granger_Inventory[[#This Row],[sum_land]]-IF(Granger_Inventory[[#This Row],[no_utilities]]=1,12000,0))/IF(Granger_Inventory[[#This Row],[unbuildable]]=1,2,1)</f>
        <v>55564.205574644664</v>
      </c>
      <c r="BX541" s="8">
        <f>Granger_Inventory[[#This Row],[pre_res]]*Granger_Inventory[[#This Row],[overall_adj]]</f>
        <v>232503.27266971927</v>
      </c>
      <c r="BY541">
        <f>IF(ROUND(Granger_Inventory[[#This Row],[adj_land]]*Lookups!$I$45,-2)&lt;Granger_Inventory[[#This Row],[min_land]],Granger_Inventory[[#This Row],[min_land]],ROUND(Granger_Inventory[[#This Row],[adj_land]]*Lookups!$I$45,-2))</f>
        <v>52800</v>
      </c>
      <c r="BZ541">
        <f>ROUND(Granger_Inventory[[#This Row],[detatched_value]]*Lookups!$I$45,-2)</f>
        <v>0</v>
      </c>
      <c r="CA541">
        <f>IF(ROUND(Granger_Inventory[[#This Row],[adj_res]]*Lookups!$I$45,-2)&lt;Granger_Inventory[[#This Row],[min_res]],Granger_Inventory[[#This Row],[min_res]],ROUND(Granger_Inventory[[#This Row],[adj_res]]*Lookups!$I$45,-2))</f>
        <v>220900</v>
      </c>
      <c r="CB541">
        <f>Granger_Inventory[[#This Row],[final_det]]+Granger_Inventory[[#This Row],[final_res]]</f>
        <v>220900</v>
      </c>
      <c r="CC541">
        <f>Granger_Inventory[[#This Row],[final_land]]+Granger_Inventory[[#This Row],[final_imp]]+Granger_Inventory[[#This Row],[crop_value]]</f>
        <v>273700</v>
      </c>
      <c r="CE541" t="str">
        <f t="shared" si="8"/>
        <v>update valuation set market_land =52800, market_bldg=220900, market_total =273700, market_mdno =402, market_date ='9/10/2023' where link_id = (select link_id from parcel where parcel_year = '2024' and parcel_id = '21102141467');</v>
      </c>
    </row>
    <row r="542" spans="1:83" x14ac:dyDescent="0.25">
      <c r="A542">
        <v>21102141468</v>
      </c>
      <c r="B542">
        <v>0.21</v>
      </c>
      <c r="C542">
        <v>9300</v>
      </c>
      <c r="D542" t="s">
        <v>137</v>
      </c>
      <c r="E542" t="s">
        <v>54</v>
      </c>
      <c r="F542" t="s">
        <v>54</v>
      </c>
      <c r="G542">
        <v>3</v>
      </c>
      <c r="H542" t="s">
        <v>55</v>
      </c>
      <c r="I542">
        <v>85700</v>
      </c>
      <c r="J542">
        <v>26500</v>
      </c>
      <c r="K542">
        <v>0.21</v>
      </c>
      <c r="L542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542">
        <v>0</v>
      </c>
      <c r="N542">
        <v>0</v>
      </c>
      <c r="O542">
        <v>0</v>
      </c>
      <c r="P542">
        <v>47108.068500000001</v>
      </c>
      <c r="Q542">
        <v>122298</v>
      </c>
      <c r="R542">
        <f>(Granger_Inventory[[#This Row],[ln_acres]]*Granger_Inventory[[#This Row],[coeff]])+Granger_Inventory[[#This Row],[const]]</f>
        <v>48778.898970377239</v>
      </c>
      <c r="S542" t="s">
        <v>56</v>
      </c>
      <c r="T542">
        <v>1</v>
      </c>
      <c r="U542" t="s">
        <v>78</v>
      </c>
      <c r="V542" t="s">
        <v>77</v>
      </c>
      <c r="W542">
        <v>0</v>
      </c>
      <c r="X542">
        <v>0</v>
      </c>
      <c r="Y542">
        <v>45</v>
      </c>
      <c r="Z542">
        <v>51</v>
      </c>
      <c r="AA542">
        <v>60</v>
      </c>
      <c r="AB542">
        <v>1500</v>
      </c>
      <c r="AC542">
        <v>1200</v>
      </c>
      <c r="AD542">
        <v>1200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40</v>
      </c>
      <c r="AN542">
        <v>45</v>
      </c>
      <c r="AO542">
        <v>40</v>
      </c>
      <c r="AP542">
        <v>5</v>
      </c>
      <c r="AQ542">
        <v>0</v>
      </c>
      <c r="AR542">
        <v>0</v>
      </c>
      <c r="AS542" t="s">
        <v>59</v>
      </c>
      <c r="AT542">
        <v>1</v>
      </c>
      <c r="AU542" t="s">
        <v>68</v>
      </c>
      <c r="AV542" t="s">
        <v>65</v>
      </c>
      <c r="AW542">
        <v>0</v>
      </c>
      <c r="AX542">
        <v>3</v>
      </c>
      <c r="AY542">
        <v>0</v>
      </c>
      <c r="AZ542">
        <v>0</v>
      </c>
      <c r="BA542">
        <v>100</v>
      </c>
      <c r="BB542">
        <v>100</v>
      </c>
      <c r="BC542">
        <v>100</v>
      </c>
      <c r="BD542">
        <v>100</v>
      </c>
      <c r="BE542">
        <v>1</v>
      </c>
      <c r="BF542">
        <v>15000</v>
      </c>
      <c r="BG542">
        <v>1000</v>
      </c>
      <c r="BH542" s="8">
        <f>Granger_Inventory[[#This Row],[land_extract]]*Lookups!$B$3</f>
        <v>29059.09250674201</v>
      </c>
      <c r="BI542" s="8">
        <f>IF(Granger_Inventory[[#This Row],[bldg_style]]="",0,Lookups!$B$2)</f>
        <v>29703.559000000001</v>
      </c>
      <c r="BJ542" s="8">
        <f>_xlfn.IFNA(VLOOKUP(Granger_Inventory[[#This Row],[quality]],Lookups!$H$2:$J$14,3,FALSE),0)</f>
        <v>23737.786340274597</v>
      </c>
      <c r="BK542" s="8">
        <f>_xlfn.IFNA(VLOOKUP(Granger_Inventory[[#This Row],[condition]],Lookups!$H$17:$J$24,3,FALSE),0)</f>
        <v>33736</v>
      </c>
      <c r="BL542" s="8">
        <f>Granger_Inventory[[#This Row],[Age]]*Lookups!$B$16</f>
        <v>-10573.8861</v>
      </c>
      <c r="BM542" s="8">
        <f>Granger_Inventory[[#This Row],[living_area]]*Lookups!$B$17</f>
        <v>80727.4908</v>
      </c>
      <c r="BN542" s="8">
        <f>(Granger_Inventory[[#This Row],[att_gar]]+Granger_Inventory[[#This Row],[blt_gar]])*Lookups!$B$18</f>
        <v>0</v>
      </c>
      <c r="BO542" s="8">
        <f>Granger_Inventory[[#This Row],[Patio]]*Lookups!$B$19</f>
        <v>2172.6038399999998</v>
      </c>
      <c r="BP542" s="8">
        <f>SUM(Granger_Inventory[[#This Row],[Intercept]:[Patio_Value]])*Granger_Inventory[[#This Row],[res_pct]]</f>
        <v>159503.55388027459</v>
      </c>
      <c r="BQ542" s="8">
        <f>Granger_Inventory[[#This Row],[land_value]]</f>
        <v>29059.09250674201</v>
      </c>
      <c r="BR542" s="4">
        <f>_xlfn.IFNA(VLOOKUP(Granger_Inventory[[#This Row],[quality]],Lookups!$A$25:$C$35,3,FALSE),1)</f>
        <v>0.77695375541795109</v>
      </c>
      <c r="BS542" s="4">
        <f>_xlfn.IFNA(VLOOKUP(Granger_Inventory[[#This Row],[condition]],Lookups!$A$38:$C$45,3,FALSE),1)</f>
        <v>0.92294678898076177</v>
      </c>
      <c r="BT542" s="4">
        <f>IF(Granger_Inventory[[#This Row],[decade]]="",1,_xlfn.IFNA(VLOOKUP(Granger_Inventory[[#This Row],[decade]],Lookups!$G$28:$I$42,3,FALSE),1))</f>
        <v>0.86581421791274704</v>
      </c>
      <c r="BU542" s="4">
        <f>_xlfn.IFNA(VLOOKUP(Granger_Inventory[[#This Row],[living_area_range]],Lookups!$A$48:$C$57,3,FALSE),1)</f>
        <v>0.97960506760539345</v>
      </c>
      <c r="BV542" s="4">
        <f>AVERAGE(Granger_Inventory[[#This Row],[qual_adj]:[living_range_adj]])</f>
        <v>0.88632995747921339</v>
      </c>
      <c r="BW542" s="8">
        <f>(Granger_Inventory[[#This Row],[sum_land]]-IF(Granger_Inventory[[#This Row],[no_utilities]]=1,12000,0))/IF(Granger_Inventory[[#This Row],[unbuildable]]=1,2,1)</f>
        <v>29059.09250674201</v>
      </c>
      <c r="BX542" s="8">
        <f>Granger_Inventory[[#This Row],[pre_res]]*Granger_Inventory[[#This Row],[overall_adj]]</f>
        <v>141372.7781284872</v>
      </c>
      <c r="BY542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542">
        <f>ROUND(Granger_Inventory[[#This Row],[detatched_value]]*Lookups!$I$45,-2)</f>
        <v>0</v>
      </c>
      <c r="CA542">
        <f>IF(ROUND(Granger_Inventory[[#This Row],[adj_res]]*Lookups!$I$45,-2)&lt;Granger_Inventory[[#This Row],[min_res]],Granger_Inventory[[#This Row],[min_res]],ROUND(Granger_Inventory[[#This Row],[adj_res]]*Lookups!$I$45,-2))</f>
        <v>134300</v>
      </c>
      <c r="CB542">
        <f>Granger_Inventory[[#This Row],[final_det]]+Granger_Inventory[[#This Row],[final_res]]</f>
        <v>134300</v>
      </c>
      <c r="CC542">
        <f>Granger_Inventory[[#This Row],[final_land]]+Granger_Inventory[[#This Row],[final_imp]]+Granger_Inventory[[#This Row],[crop_value]]</f>
        <v>161900</v>
      </c>
      <c r="CE542" t="str">
        <f t="shared" si="8"/>
        <v>update valuation set market_land =27600, market_bldg=134300, market_total =161900, market_mdno =402, market_date ='9/10/2023' where link_id = (select link_id from parcel where parcel_year = '2024' and parcel_id = '21102141468');</v>
      </c>
    </row>
    <row r="543" spans="1:83" x14ac:dyDescent="0.25">
      <c r="A543">
        <v>21102141469</v>
      </c>
      <c r="B543">
        <v>0.23</v>
      </c>
      <c r="C543">
        <v>10005</v>
      </c>
      <c r="D543" t="s">
        <v>137</v>
      </c>
      <c r="E543" t="s">
        <v>54</v>
      </c>
      <c r="F543" t="s">
        <v>54</v>
      </c>
      <c r="G543">
        <v>3</v>
      </c>
      <c r="H543" t="s">
        <v>55</v>
      </c>
      <c r="I543">
        <v>106500</v>
      </c>
      <c r="J543">
        <v>27000</v>
      </c>
      <c r="K543">
        <v>0.23</v>
      </c>
      <c r="L543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543">
        <v>0</v>
      </c>
      <c r="N543">
        <v>0</v>
      </c>
      <c r="O543">
        <v>0</v>
      </c>
      <c r="P543">
        <v>47108.068500000001</v>
      </c>
      <c r="Q543">
        <v>122298</v>
      </c>
      <c r="R543">
        <f>(Granger_Inventory[[#This Row],[ln_acres]]*Granger_Inventory[[#This Row],[coeff]])+Granger_Inventory[[#This Row],[const]]</f>
        <v>53064.403729659418</v>
      </c>
      <c r="S543" t="s">
        <v>56</v>
      </c>
      <c r="T543">
        <v>1</v>
      </c>
      <c r="U543" t="s">
        <v>78</v>
      </c>
      <c r="V543" t="s">
        <v>79</v>
      </c>
      <c r="W543">
        <v>0</v>
      </c>
      <c r="X543">
        <v>0</v>
      </c>
      <c r="Y543">
        <v>45</v>
      </c>
      <c r="Z543">
        <v>51</v>
      </c>
      <c r="AA543">
        <v>60</v>
      </c>
      <c r="AB543">
        <v>1500</v>
      </c>
      <c r="AC543">
        <v>1120</v>
      </c>
      <c r="AD543">
        <v>1120</v>
      </c>
      <c r="AE543">
        <v>0</v>
      </c>
      <c r="AF543">
        <v>0</v>
      </c>
      <c r="AG543">
        <v>0</v>
      </c>
      <c r="AH543">
        <v>0</v>
      </c>
      <c r="AI543">
        <v>308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5</v>
      </c>
      <c r="AQ543">
        <v>0</v>
      </c>
      <c r="AR543">
        <v>0</v>
      </c>
      <c r="AS543" t="s">
        <v>59</v>
      </c>
      <c r="AT543">
        <v>1</v>
      </c>
      <c r="AU543" t="s">
        <v>68</v>
      </c>
      <c r="AV543" t="s">
        <v>65</v>
      </c>
      <c r="AW543">
        <v>0</v>
      </c>
      <c r="AX543">
        <v>4</v>
      </c>
      <c r="AY543">
        <v>0</v>
      </c>
      <c r="AZ543">
        <v>0</v>
      </c>
      <c r="BA543">
        <v>100</v>
      </c>
      <c r="BB543">
        <v>100</v>
      </c>
      <c r="BC543">
        <v>100</v>
      </c>
      <c r="BD543">
        <v>100</v>
      </c>
      <c r="BE543">
        <v>1</v>
      </c>
      <c r="BF543">
        <v>15000</v>
      </c>
      <c r="BG543">
        <v>1000</v>
      </c>
      <c r="BH543" s="8">
        <f>Granger_Inventory[[#This Row],[land_extract]]*Lookups!$B$3</f>
        <v>31612.09968539299</v>
      </c>
      <c r="BI543" s="8">
        <f>IF(Granger_Inventory[[#This Row],[bldg_style]]="",0,Lookups!$B$2)</f>
        <v>29703.559000000001</v>
      </c>
      <c r="BJ543" s="8">
        <f>_xlfn.IFNA(VLOOKUP(Granger_Inventory[[#This Row],[quality]],Lookups!$H$2:$J$14,3,FALSE),0)</f>
        <v>23737.786340274597</v>
      </c>
      <c r="BK543" s="8">
        <f>_xlfn.IFNA(VLOOKUP(Granger_Inventory[[#This Row],[condition]],Lookups!$H$17:$J$24,3,FALSE),0)</f>
        <v>86727</v>
      </c>
      <c r="BL543" s="8">
        <f>Granger_Inventory[[#This Row],[Age]]*Lookups!$B$16</f>
        <v>-10573.8861</v>
      </c>
      <c r="BM543" s="8">
        <f>Granger_Inventory[[#This Row],[living_area]]*Lookups!$B$17</f>
        <v>75345.658079999994</v>
      </c>
      <c r="BN543" s="8">
        <f>(Granger_Inventory[[#This Row],[att_gar]]+Granger_Inventory[[#This Row],[blt_gar]])*Lookups!$B$18</f>
        <v>14921.856488000001</v>
      </c>
      <c r="BO543" s="8">
        <f>Granger_Inventory[[#This Row],[Patio]]*Lookups!$B$19</f>
        <v>0</v>
      </c>
      <c r="BP543" s="8">
        <f>SUM(Granger_Inventory[[#This Row],[Intercept]:[Patio_Value]])*Granger_Inventory[[#This Row],[res_pct]]</f>
        <v>219861.97380827458</v>
      </c>
      <c r="BQ543" s="8">
        <f>Granger_Inventory[[#This Row],[land_value]]</f>
        <v>31612.09968539299</v>
      </c>
      <c r="BR543" s="4">
        <f>_xlfn.IFNA(VLOOKUP(Granger_Inventory[[#This Row],[quality]],Lookups!$A$25:$C$35,3,FALSE),1)</f>
        <v>0.77695375541795109</v>
      </c>
      <c r="BS543" s="4">
        <f>_xlfn.IFNA(VLOOKUP(Granger_Inventory[[#This Row],[condition]],Lookups!$A$38:$C$45,3,FALSE),1)</f>
        <v>0.85322907131620684</v>
      </c>
      <c r="BT543" s="4">
        <f>IF(Granger_Inventory[[#This Row],[decade]]="",1,_xlfn.IFNA(VLOOKUP(Granger_Inventory[[#This Row],[decade]],Lookups!$G$28:$I$42,3,FALSE),1))</f>
        <v>0.86581421791274704</v>
      </c>
      <c r="BU543" s="4">
        <f>_xlfn.IFNA(VLOOKUP(Granger_Inventory[[#This Row],[living_area_range]],Lookups!$A$48:$C$57,3,FALSE),1)</f>
        <v>0.97960506760539345</v>
      </c>
      <c r="BV543" s="4">
        <f>AVERAGE(Granger_Inventory[[#This Row],[qual_adj]:[living_range_adj]])</f>
        <v>0.86890052806307461</v>
      </c>
      <c r="BW543" s="8">
        <f>(Granger_Inventory[[#This Row],[sum_land]]-IF(Granger_Inventory[[#This Row],[no_utilities]]=1,12000,0))/IF(Granger_Inventory[[#This Row],[unbuildable]]=1,2,1)</f>
        <v>31612.09968539299</v>
      </c>
      <c r="BX543" s="8">
        <f>Granger_Inventory[[#This Row],[pre_res]]*Granger_Inventory[[#This Row],[overall_adj]]</f>
        <v>191038.18514299966</v>
      </c>
      <c r="BY543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543">
        <f>ROUND(Granger_Inventory[[#This Row],[detatched_value]]*Lookups!$I$45,-2)</f>
        <v>0</v>
      </c>
      <c r="CA543">
        <f>IF(ROUND(Granger_Inventory[[#This Row],[adj_res]]*Lookups!$I$45,-2)&lt;Granger_Inventory[[#This Row],[min_res]],Granger_Inventory[[#This Row],[min_res]],ROUND(Granger_Inventory[[#This Row],[adj_res]]*Lookups!$I$45,-2))</f>
        <v>181500</v>
      </c>
      <c r="CB543">
        <f>Granger_Inventory[[#This Row],[final_det]]+Granger_Inventory[[#This Row],[final_res]]</f>
        <v>181500</v>
      </c>
      <c r="CC543">
        <f>Granger_Inventory[[#This Row],[final_land]]+Granger_Inventory[[#This Row],[final_imp]]+Granger_Inventory[[#This Row],[crop_value]]</f>
        <v>211500</v>
      </c>
      <c r="CE543" t="str">
        <f t="shared" si="8"/>
        <v>update valuation set market_land =30000, market_bldg=181500, market_total =211500, market_mdno =402, market_date ='9/10/2023' where link_id = (select link_id from parcel where parcel_year = '2024' and parcel_id = '21102141469');</v>
      </c>
    </row>
    <row r="544" spans="1:83" x14ac:dyDescent="0.25">
      <c r="A544">
        <v>21102141470</v>
      </c>
      <c r="B544">
        <v>0.23</v>
      </c>
      <c r="C544">
        <v>9990</v>
      </c>
      <c r="D544" t="s">
        <v>137</v>
      </c>
      <c r="E544" t="s">
        <v>54</v>
      </c>
      <c r="F544" t="s">
        <v>54</v>
      </c>
      <c r="G544">
        <v>3</v>
      </c>
      <c r="H544" t="s">
        <v>55</v>
      </c>
      <c r="I544">
        <v>85400</v>
      </c>
      <c r="J544">
        <v>27000</v>
      </c>
      <c r="K544">
        <v>0.23</v>
      </c>
      <c r="L544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544">
        <v>0</v>
      </c>
      <c r="N544">
        <v>0</v>
      </c>
      <c r="O544">
        <v>0</v>
      </c>
      <c r="P544">
        <v>47108.068500000001</v>
      </c>
      <c r="Q544">
        <v>122298</v>
      </c>
      <c r="R544">
        <f>(Granger_Inventory[[#This Row],[ln_acres]]*Granger_Inventory[[#This Row],[coeff]])+Granger_Inventory[[#This Row],[const]]</f>
        <v>53064.403729659418</v>
      </c>
      <c r="S544" t="s">
        <v>56</v>
      </c>
      <c r="T544">
        <v>1</v>
      </c>
      <c r="U544" t="s">
        <v>78</v>
      </c>
      <c r="V544" t="s">
        <v>77</v>
      </c>
      <c r="W544">
        <v>0</v>
      </c>
      <c r="X544">
        <v>0</v>
      </c>
      <c r="Y544">
        <v>45</v>
      </c>
      <c r="Z544">
        <v>51</v>
      </c>
      <c r="AA544">
        <v>60</v>
      </c>
      <c r="AB544">
        <v>1000</v>
      </c>
      <c r="AC544">
        <v>960</v>
      </c>
      <c r="AD544">
        <v>960</v>
      </c>
      <c r="AE544">
        <v>0</v>
      </c>
      <c r="AF544">
        <v>0</v>
      </c>
      <c r="AG544">
        <v>0</v>
      </c>
      <c r="AH544">
        <v>0</v>
      </c>
      <c r="AI544">
        <v>240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5</v>
      </c>
      <c r="AQ544">
        <v>0</v>
      </c>
      <c r="AR544">
        <v>0</v>
      </c>
      <c r="AS544" t="s">
        <v>59</v>
      </c>
      <c r="AT544">
        <v>1</v>
      </c>
      <c r="AU544" t="s">
        <v>68</v>
      </c>
      <c r="AV544" t="s">
        <v>65</v>
      </c>
      <c r="AW544">
        <v>0</v>
      </c>
      <c r="AX544">
        <v>3</v>
      </c>
      <c r="AY544">
        <v>0</v>
      </c>
      <c r="AZ544">
        <v>0</v>
      </c>
      <c r="BA544">
        <v>100</v>
      </c>
      <c r="BB544">
        <v>100</v>
      </c>
      <c r="BC544">
        <v>100</v>
      </c>
      <c r="BD544">
        <v>100</v>
      </c>
      <c r="BE544">
        <v>1</v>
      </c>
      <c r="BF544">
        <v>15000</v>
      </c>
      <c r="BG544">
        <v>1000</v>
      </c>
      <c r="BH544" s="8">
        <f>Granger_Inventory[[#This Row],[land_extract]]*Lookups!$B$3</f>
        <v>31612.09968539299</v>
      </c>
      <c r="BI544" s="8">
        <f>IF(Granger_Inventory[[#This Row],[bldg_style]]="",0,Lookups!$B$2)</f>
        <v>29703.559000000001</v>
      </c>
      <c r="BJ544" s="8">
        <f>_xlfn.IFNA(VLOOKUP(Granger_Inventory[[#This Row],[quality]],Lookups!$H$2:$J$14,3,FALSE),0)</f>
        <v>23737.786340274597</v>
      </c>
      <c r="BK544" s="8">
        <f>_xlfn.IFNA(VLOOKUP(Granger_Inventory[[#This Row],[condition]],Lookups!$H$17:$J$24,3,FALSE),0)</f>
        <v>33736</v>
      </c>
      <c r="BL544" s="8">
        <f>Granger_Inventory[[#This Row],[Age]]*Lookups!$B$16</f>
        <v>-10573.8861</v>
      </c>
      <c r="BM544" s="8">
        <f>Granger_Inventory[[#This Row],[living_area]]*Lookups!$B$17</f>
        <v>64581.992639999997</v>
      </c>
      <c r="BN544" s="8">
        <f>(Granger_Inventory[[#This Row],[att_gar]]+Granger_Inventory[[#This Row],[blt_gar]])*Lookups!$B$18</f>
        <v>11627.42064</v>
      </c>
      <c r="BO544" s="8">
        <f>Granger_Inventory[[#This Row],[Patio]]*Lookups!$B$19</f>
        <v>0</v>
      </c>
      <c r="BP544" s="8">
        <f>SUM(Granger_Inventory[[#This Row],[Intercept]:[Patio_Value]])*Granger_Inventory[[#This Row],[res_pct]]</f>
        <v>152812.87252027457</v>
      </c>
      <c r="BQ544" s="8">
        <f>Granger_Inventory[[#This Row],[land_value]]</f>
        <v>31612.09968539299</v>
      </c>
      <c r="BR544" s="4">
        <f>_xlfn.IFNA(VLOOKUP(Granger_Inventory[[#This Row],[quality]],Lookups!$A$25:$C$35,3,FALSE),1)</f>
        <v>0.77695375541795109</v>
      </c>
      <c r="BS544" s="4">
        <f>_xlfn.IFNA(VLOOKUP(Granger_Inventory[[#This Row],[condition]],Lookups!$A$38:$C$45,3,FALSE),1)</f>
        <v>0.92294678898076177</v>
      </c>
      <c r="BT544" s="4">
        <f>IF(Granger_Inventory[[#This Row],[decade]]="",1,_xlfn.IFNA(VLOOKUP(Granger_Inventory[[#This Row],[decade]],Lookups!$G$28:$I$42,3,FALSE),1))</f>
        <v>0.86581421791274704</v>
      </c>
      <c r="BU544" s="4">
        <f>_xlfn.IFNA(VLOOKUP(Granger_Inventory[[#This Row],[living_area_range]],Lookups!$A$48:$C$57,3,FALSE),1)</f>
        <v>0.81272404900450645</v>
      </c>
      <c r="BV544" s="4">
        <f>AVERAGE(Granger_Inventory[[#This Row],[qual_adj]:[living_range_adj]])</f>
        <v>0.84460970282899162</v>
      </c>
      <c r="BW544" s="8">
        <f>(Granger_Inventory[[#This Row],[sum_land]]-IF(Granger_Inventory[[#This Row],[no_utilities]]=1,12000,0))/IF(Granger_Inventory[[#This Row],[unbuildable]]=1,2,1)</f>
        <v>31612.09968539299</v>
      </c>
      <c r="BX544" s="8">
        <f>Granger_Inventory[[#This Row],[pre_res]]*Granger_Inventory[[#This Row],[overall_adj]]</f>
        <v>129067.23484779369</v>
      </c>
      <c r="BY544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544">
        <f>ROUND(Granger_Inventory[[#This Row],[detatched_value]]*Lookups!$I$45,-2)</f>
        <v>0</v>
      </c>
      <c r="CA544">
        <f>IF(ROUND(Granger_Inventory[[#This Row],[adj_res]]*Lookups!$I$45,-2)&lt;Granger_Inventory[[#This Row],[min_res]],Granger_Inventory[[#This Row],[min_res]],ROUND(Granger_Inventory[[#This Row],[adj_res]]*Lookups!$I$45,-2))</f>
        <v>122600</v>
      </c>
      <c r="CB544">
        <f>Granger_Inventory[[#This Row],[final_det]]+Granger_Inventory[[#This Row],[final_res]]</f>
        <v>122600</v>
      </c>
      <c r="CC544">
        <f>Granger_Inventory[[#This Row],[final_land]]+Granger_Inventory[[#This Row],[final_imp]]+Granger_Inventory[[#This Row],[crop_value]]</f>
        <v>152600</v>
      </c>
      <c r="CE544" t="str">
        <f t="shared" si="8"/>
        <v>update valuation set market_land =30000, market_bldg=122600, market_total =152600, market_mdno =402, market_date ='9/10/2023' where link_id = (select link_id from parcel where parcel_year = '2024' and parcel_id = '21102141470');</v>
      </c>
    </row>
    <row r="545" spans="1:83" x14ac:dyDescent="0.25">
      <c r="A545">
        <v>21102141471</v>
      </c>
      <c r="B545">
        <v>0.23</v>
      </c>
      <c r="C545">
        <v>10005</v>
      </c>
      <c r="D545" t="s">
        <v>137</v>
      </c>
      <c r="E545" t="s">
        <v>54</v>
      </c>
      <c r="F545" t="s">
        <v>54</v>
      </c>
      <c r="G545">
        <v>3</v>
      </c>
      <c r="H545" t="s">
        <v>55</v>
      </c>
      <c r="I545">
        <v>85700</v>
      </c>
      <c r="J545">
        <v>27000</v>
      </c>
      <c r="K545">
        <v>0.23</v>
      </c>
      <c r="L545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545">
        <v>0</v>
      </c>
      <c r="N545">
        <v>0</v>
      </c>
      <c r="O545">
        <v>0</v>
      </c>
      <c r="P545">
        <v>47108.068500000001</v>
      </c>
      <c r="Q545">
        <v>122298</v>
      </c>
      <c r="R545">
        <f>(Granger_Inventory[[#This Row],[ln_acres]]*Granger_Inventory[[#This Row],[coeff]])+Granger_Inventory[[#This Row],[const]]</f>
        <v>53064.403729659418</v>
      </c>
      <c r="S545" t="s">
        <v>56</v>
      </c>
      <c r="T545">
        <v>1</v>
      </c>
      <c r="U545" t="s">
        <v>78</v>
      </c>
      <c r="V545" t="s">
        <v>77</v>
      </c>
      <c r="W545">
        <v>0</v>
      </c>
      <c r="X545">
        <v>0</v>
      </c>
      <c r="Y545">
        <v>45</v>
      </c>
      <c r="Z545">
        <v>51</v>
      </c>
      <c r="AA545">
        <v>60</v>
      </c>
      <c r="AB545">
        <v>1500</v>
      </c>
      <c r="AC545">
        <v>1200</v>
      </c>
      <c r="AD545">
        <v>1200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5</v>
      </c>
      <c r="AQ545">
        <v>0</v>
      </c>
      <c r="AR545">
        <v>0</v>
      </c>
      <c r="AS545" t="s">
        <v>59</v>
      </c>
      <c r="AT545">
        <v>1</v>
      </c>
      <c r="AU545" t="s">
        <v>68</v>
      </c>
      <c r="AV545" t="s">
        <v>65</v>
      </c>
      <c r="AW545">
        <v>0</v>
      </c>
      <c r="AX545">
        <v>3</v>
      </c>
      <c r="AY545">
        <v>0</v>
      </c>
      <c r="AZ545">
        <v>0</v>
      </c>
      <c r="BA545">
        <v>100</v>
      </c>
      <c r="BB545">
        <v>100</v>
      </c>
      <c r="BC545">
        <v>100</v>
      </c>
      <c r="BD545">
        <v>100</v>
      </c>
      <c r="BE545">
        <v>1</v>
      </c>
      <c r="BF545">
        <v>15000</v>
      </c>
      <c r="BG545">
        <v>1000</v>
      </c>
      <c r="BH545" s="8">
        <f>Granger_Inventory[[#This Row],[land_extract]]*Lookups!$B$3</f>
        <v>31612.09968539299</v>
      </c>
      <c r="BI545" s="8">
        <f>IF(Granger_Inventory[[#This Row],[bldg_style]]="",0,Lookups!$B$2)</f>
        <v>29703.559000000001</v>
      </c>
      <c r="BJ545" s="8">
        <f>_xlfn.IFNA(VLOOKUP(Granger_Inventory[[#This Row],[quality]],Lookups!$H$2:$J$14,3,FALSE),0)</f>
        <v>23737.786340274597</v>
      </c>
      <c r="BK545" s="8">
        <f>_xlfn.IFNA(VLOOKUP(Granger_Inventory[[#This Row],[condition]],Lookups!$H$17:$J$24,3,FALSE),0)</f>
        <v>33736</v>
      </c>
      <c r="BL545" s="8">
        <f>Granger_Inventory[[#This Row],[Age]]*Lookups!$B$16</f>
        <v>-10573.8861</v>
      </c>
      <c r="BM545" s="8">
        <f>Granger_Inventory[[#This Row],[living_area]]*Lookups!$B$17</f>
        <v>80727.4908</v>
      </c>
      <c r="BN545" s="8">
        <f>(Granger_Inventory[[#This Row],[att_gar]]+Granger_Inventory[[#This Row],[blt_gar]])*Lookups!$B$18</f>
        <v>0</v>
      </c>
      <c r="BO545" s="8">
        <f>Granger_Inventory[[#This Row],[Patio]]*Lookups!$B$19</f>
        <v>0</v>
      </c>
      <c r="BP545" s="8">
        <f>SUM(Granger_Inventory[[#This Row],[Intercept]:[Patio_Value]])*Granger_Inventory[[#This Row],[res_pct]]</f>
        <v>157330.95004027459</v>
      </c>
      <c r="BQ545" s="8">
        <f>Granger_Inventory[[#This Row],[land_value]]</f>
        <v>31612.09968539299</v>
      </c>
      <c r="BR545" s="4">
        <f>_xlfn.IFNA(VLOOKUP(Granger_Inventory[[#This Row],[quality]],Lookups!$A$25:$C$35,3,FALSE),1)</f>
        <v>0.77695375541795109</v>
      </c>
      <c r="BS545" s="4">
        <f>_xlfn.IFNA(VLOOKUP(Granger_Inventory[[#This Row],[condition]],Lookups!$A$38:$C$45,3,FALSE),1)</f>
        <v>0.92294678898076177</v>
      </c>
      <c r="BT545" s="4">
        <f>IF(Granger_Inventory[[#This Row],[decade]]="",1,_xlfn.IFNA(VLOOKUP(Granger_Inventory[[#This Row],[decade]],Lookups!$G$28:$I$42,3,FALSE),1))</f>
        <v>0.86581421791274704</v>
      </c>
      <c r="BU545" s="4">
        <f>_xlfn.IFNA(VLOOKUP(Granger_Inventory[[#This Row],[living_area_range]],Lookups!$A$48:$C$57,3,FALSE),1)</f>
        <v>0.97960506760539345</v>
      </c>
      <c r="BV545" s="4">
        <f>AVERAGE(Granger_Inventory[[#This Row],[qual_adj]:[living_range_adj]])</f>
        <v>0.88632995747921339</v>
      </c>
      <c r="BW545" s="8">
        <f>(Granger_Inventory[[#This Row],[sum_land]]-IF(Granger_Inventory[[#This Row],[no_utilities]]=1,12000,0))/IF(Granger_Inventory[[#This Row],[unbuildable]]=1,2,1)</f>
        <v>31612.09968539299</v>
      </c>
      <c r="BX545" s="8">
        <f>Granger_Inventory[[#This Row],[pre_res]]*Granger_Inventory[[#This Row],[overall_adj]]</f>
        <v>139447.13425936081</v>
      </c>
      <c r="BY545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545">
        <f>ROUND(Granger_Inventory[[#This Row],[detatched_value]]*Lookups!$I$45,-2)</f>
        <v>0</v>
      </c>
      <c r="CA545">
        <f>IF(ROUND(Granger_Inventory[[#This Row],[adj_res]]*Lookups!$I$45,-2)&lt;Granger_Inventory[[#This Row],[min_res]],Granger_Inventory[[#This Row],[min_res]],ROUND(Granger_Inventory[[#This Row],[adj_res]]*Lookups!$I$45,-2))</f>
        <v>132500</v>
      </c>
      <c r="CB545">
        <f>Granger_Inventory[[#This Row],[final_det]]+Granger_Inventory[[#This Row],[final_res]]</f>
        <v>132500</v>
      </c>
      <c r="CC545">
        <f>Granger_Inventory[[#This Row],[final_land]]+Granger_Inventory[[#This Row],[final_imp]]+Granger_Inventory[[#This Row],[crop_value]]</f>
        <v>162500</v>
      </c>
      <c r="CE545" t="str">
        <f t="shared" si="8"/>
        <v>update valuation set market_land =30000, market_bldg=132500, market_total =162500, market_mdno =402, market_date ='9/10/2023' where link_id = (select link_id from parcel where parcel_year = '2024' and parcel_id = '21102141471');</v>
      </c>
    </row>
    <row r="546" spans="1:83" x14ac:dyDescent="0.25">
      <c r="A546">
        <v>21102141472</v>
      </c>
      <c r="B546">
        <v>0.44</v>
      </c>
      <c r="C546">
        <v>18954</v>
      </c>
      <c r="D546" t="s">
        <v>137</v>
      </c>
      <c r="E546" t="s">
        <v>54</v>
      </c>
      <c r="F546" t="s">
        <v>54</v>
      </c>
      <c r="G546">
        <v>3</v>
      </c>
      <c r="H546" t="s">
        <v>55</v>
      </c>
      <c r="I546">
        <v>186300</v>
      </c>
      <c r="J546">
        <v>30600</v>
      </c>
      <c r="K546">
        <v>0.44</v>
      </c>
      <c r="L546">
        <f>IF(Granger_Inventory[[#This Row],[parcel_acres]]-Granger_Inventory[[#This Row],[non_valued_acres]] =0,0,LN(Granger_Inventory[[#This Row],[parcel_acres]]-Granger_Inventory[[#This Row],[non_valued_acres]]))</f>
        <v>-0.82098055206983023</v>
      </c>
      <c r="M546">
        <v>0</v>
      </c>
      <c r="N546">
        <v>0</v>
      </c>
      <c r="O546">
        <v>0</v>
      </c>
      <c r="P546">
        <v>47108.068500000001</v>
      </c>
      <c r="Q546">
        <v>122298</v>
      </c>
      <c r="R546">
        <f>(Granger_Inventory[[#This Row],[ln_acres]]*Granger_Inventory[[#This Row],[coeff]])+Granger_Inventory[[#This Row],[const]]</f>
        <v>83623.191915926611</v>
      </c>
      <c r="S546" t="s">
        <v>56</v>
      </c>
      <c r="T546">
        <v>1</v>
      </c>
      <c r="U546" t="s">
        <v>57</v>
      </c>
      <c r="V546" t="s">
        <v>77</v>
      </c>
      <c r="W546">
        <v>0</v>
      </c>
      <c r="X546">
        <v>0</v>
      </c>
      <c r="Y546">
        <v>45</v>
      </c>
      <c r="Z546">
        <v>50</v>
      </c>
      <c r="AA546">
        <v>50</v>
      </c>
      <c r="AB546">
        <v>2000</v>
      </c>
      <c r="AC546">
        <v>1902</v>
      </c>
      <c r="AD546">
        <v>1902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896</v>
      </c>
      <c r="AN546">
        <v>104</v>
      </c>
      <c r="AO546">
        <v>104</v>
      </c>
      <c r="AP546">
        <v>8</v>
      </c>
      <c r="AQ546">
        <v>0</v>
      </c>
      <c r="AR546">
        <v>1</v>
      </c>
      <c r="AS546" t="s">
        <v>59</v>
      </c>
      <c r="AT546">
        <v>1</v>
      </c>
      <c r="AU546" t="s">
        <v>60</v>
      </c>
      <c r="AV546" t="s">
        <v>61</v>
      </c>
      <c r="AW546">
        <v>1</v>
      </c>
      <c r="AX546">
        <v>3</v>
      </c>
      <c r="AY546">
        <v>0</v>
      </c>
      <c r="AZ546">
        <v>0</v>
      </c>
      <c r="BA546">
        <v>100</v>
      </c>
      <c r="BB546">
        <v>100</v>
      </c>
      <c r="BC546">
        <v>100</v>
      </c>
      <c r="BD546">
        <v>100</v>
      </c>
      <c r="BE546">
        <v>1</v>
      </c>
      <c r="BF546">
        <v>15000</v>
      </c>
      <c r="BG546">
        <v>1000</v>
      </c>
      <c r="BH546" s="8">
        <f>Granger_Inventory[[#This Row],[land_extract]]*Lookups!$B$3</f>
        <v>49816.911018628496</v>
      </c>
      <c r="BI546" s="8">
        <f>IF(Granger_Inventory[[#This Row],[bldg_style]]="",0,Lookups!$B$2)</f>
        <v>29703.559000000001</v>
      </c>
      <c r="BJ546" s="8">
        <f>_xlfn.IFNA(VLOOKUP(Granger_Inventory[[#This Row],[quality]],Lookups!$H$2:$J$14,3,FALSE),0)</f>
        <v>56414</v>
      </c>
      <c r="BK546" s="8">
        <f>_xlfn.IFNA(VLOOKUP(Granger_Inventory[[#This Row],[condition]],Lookups!$H$17:$J$24,3,FALSE),0)</f>
        <v>33736</v>
      </c>
      <c r="BL546" s="8">
        <f>Granger_Inventory[[#This Row],[Age]]*Lookups!$B$16</f>
        <v>-10366.555</v>
      </c>
      <c r="BM546" s="8">
        <f>Granger_Inventory[[#This Row],[living_area]]*Lookups!$B$17</f>
        <v>127953.07291799999</v>
      </c>
      <c r="BN546" s="8">
        <f>(Granger_Inventory[[#This Row],[att_gar]]+Granger_Inventory[[#This Row],[blt_gar]])*Lookups!$B$18</f>
        <v>0</v>
      </c>
      <c r="BO546" s="8">
        <f>Granger_Inventory[[#This Row],[Patio]]*Lookups!$B$19</f>
        <v>48666.326015999999</v>
      </c>
      <c r="BP546" s="8">
        <f>SUM(Granger_Inventory[[#This Row],[Intercept]:[Patio_Value]])*Granger_Inventory[[#This Row],[res_pct]]</f>
        <v>286106.40293400001</v>
      </c>
      <c r="BQ546" s="8">
        <f>Granger_Inventory[[#This Row],[land_value]]</f>
        <v>49816.911018628496</v>
      </c>
      <c r="BR546" s="4">
        <f>_xlfn.IFNA(VLOOKUP(Granger_Inventory[[#This Row],[quality]],Lookups!$A$25:$C$35,3,FALSE),1)</f>
        <v>0.98791809110152173</v>
      </c>
      <c r="BS546" s="4">
        <f>_xlfn.IFNA(VLOOKUP(Granger_Inventory[[#This Row],[condition]],Lookups!$A$38:$C$45,3,FALSE),1)</f>
        <v>0.92294678898076177</v>
      </c>
      <c r="BT546" s="4">
        <f>IF(Granger_Inventory[[#This Row],[decade]]="",1,_xlfn.IFNA(VLOOKUP(Granger_Inventory[[#This Row],[decade]],Lookups!$G$28:$I$42,3,FALSE),1))</f>
        <v>1.2441094871772171</v>
      </c>
      <c r="BU546" s="4">
        <f>_xlfn.IFNA(VLOOKUP(Granger_Inventory[[#This Row],[living_area_range]],Lookups!$A$48:$C$57,3,FALSE),1)</f>
        <v>0.97860968051050168</v>
      </c>
      <c r="BV546" s="4">
        <f>AVERAGE(Granger_Inventory[[#This Row],[qual_adj]:[living_range_adj]])</f>
        <v>1.0333960119425005</v>
      </c>
      <c r="BW546" s="8">
        <f>(Granger_Inventory[[#This Row],[sum_land]]-IF(Granger_Inventory[[#This Row],[no_utilities]]=1,12000,0))/IF(Granger_Inventory[[#This Row],[unbuildable]]=1,2,1)</f>
        <v>49816.911018628496</v>
      </c>
      <c r="BX546" s="8">
        <f>Granger_Inventory[[#This Row],[pre_res]]*Granger_Inventory[[#This Row],[overall_adj]]</f>
        <v>295661.21578320977</v>
      </c>
      <c r="BY546">
        <f>IF(ROUND(Granger_Inventory[[#This Row],[adj_land]]*Lookups!$I$45,-2)&lt;Granger_Inventory[[#This Row],[min_land]],Granger_Inventory[[#This Row],[min_land]],ROUND(Granger_Inventory[[#This Row],[adj_land]]*Lookups!$I$45,-2))</f>
        <v>47300</v>
      </c>
      <c r="BZ546">
        <f>ROUND(Granger_Inventory[[#This Row],[detatched_value]]*Lookups!$I$45,-2)</f>
        <v>0</v>
      </c>
      <c r="CA546">
        <f>IF(ROUND(Granger_Inventory[[#This Row],[adj_res]]*Lookups!$I$45,-2)&lt;Granger_Inventory[[#This Row],[min_res]],Granger_Inventory[[#This Row],[min_res]],ROUND(Granger_Inventory[[#This Row],[adj_res]]*Lookups!$I$45,-2))</f>
        <v>280900</v>
      </c>
      <c r="CB546">
        <f>Granger_Inventory[[#This Row],[final_det]]+Granger_Inventory[[#This Row],[final_res]]</f>
        <v>280900</v>
      </c>
      <c r="CC546">
        <f>Granger_Inventory[[#This Row],[final_land]]+Granger_Inventory[[#This Row],[final_imp]]+Granger_Inventory[[#This Row],[crop_value]]</f>
        <v>328200</v>
      </c>
      <c r="CE546" t="str">
        <f t="shared" si="8"/>
        <v>update valuation set market_land =47300, market_bldg=280900, market_total =328200, market_mdno =402, market_date ='9/10/2023' where link_id = (select link_id from parcel where parcel_year = '2024' and parcel_id = '21102141472');</v>
      </c>
    </row>
    <row r="547" spans="1:83" x14ac:dyDescent="0.25">
      <c r="A547">
        <v>21102141483</v>
      </c>
      <c r="B547">
        <v>0.16</v>
      </c>
      <c r="C547">
        <v>7000</v>
      </c>
      <c r="D547" t="s">
        <v>137</v>
      </c>
      <c r="E547" t="s">
        <v>54</v>
      </c>
      <c r="F547" t="s">
        <v>54</v>
      </c>
      <c r="G547">
        <v>3</v>
      </c>
      <c r="H547" t="s">
        <v>55</v>
      </c>
      <c r="I547">
        <v>164900</v>
      </c>
      <c r="J547">
        <v>25000</v>
      </c>
      <c r="K547">
        <v>0.16</v>
      </c>
      <c r="L547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47">
        <v>0</v>
      </c>
      <c r="N547">
        <v>0</v>
      </c>
      <c r="O547">
        <v>0</v>
      </c>
      <c r="P547">
        <v>47108.068500000001</v>
      </c>
      <c r="Q547">
        <v>122298</v>
      </c>
      <c r="R547">
        <f>(Granger_Inventory[[#This Row],[ln_acres]]*Granger_Inventory[[#This Row],[coeff]])+Granger_Inventory[[#This Row],[const]]</f>
        <v>35968.626873914327</v>
      </c>
      <c r="S547" t="s">
        <v>62</v>
      </c>
      <c r="T547">
        <v>1</v>
      </c>
      <c r="U547" t="s">
        <v>71</v>
      </c>
      <c r="V547" t="s">
        <v>72</v>
      </c>
      <c r="W547">
        <v>0</v>
      </c>
      <c r="X547">
        <v>0</v>
      </c>
      <c r="Y547">
        <v>19</v>
      </c>
      <c r="Z547">
        <v>19</v>
      </c>
      <c r="AA547">
        <v>20</v>
      </c>
      <c r="AB547">
        <v>1500</v>
      </c>
      <c r="AC547">
        <v>1036</v>
      </c>
      <c r="AD547">
        <v>1036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56</v>
      </c>
      <c r="AO547">
        <v>0</v>
      </c>
      <c r="AP547">
        <v>5</v>
      </c>
      <c r="AQ547">
        <v>0</v>
      </c>
      <c r="AR547">
        <v>0</v>
      </c>
      <c r="AS547" t="s">
        <v>59</v>
      </c>
      <c r="AT547">
        <v>1</v>
      </c>
      <c r="AU547" t="s">
        <v>60</v>
      </c>
      <c r="AV547" t="s">
        <v>65</v>
      </c>
      <c r="AW547">
        <v>0</v>
      </c>
      <c r="AX547">
        <v>3</v>
      </c>
      <c r="AY547">
        <v>0</v>
      </c>
      <c r="AZ547">
        <v>0</v>
      </c>
      <c r="BA547">
        <v>100</v>
      </c>
      <c r="BB547">
        <v>100</v>
      </c>
      <c r="BC547">
        <v>100</v>
      </c>
      <c r="BD547">
        <v>100</v>
      </c>
      <c r="BE547">
        <v>1</v>
      </c>
      <c r="BF547">
        <v>15000</v>
      </c>
      <c r="BG547">
        <v>1000</v>
      </c>
      <c r="BH547" s="8">
        <f>Granger_Inventory[[#This Row],[land_extract]]*Lookups!$B$3</f>
        <v>21427.618862498482</v>
      </c>
      <c r="BI547" s="8">
        <f>IF(Granger_Inventory[[#This Row],[bldg_style]]="",0,Lookups!$B$2)</f>
        <v>29703.559000000001</v>
      </c>
      <c r="BJ547" s="8">
        <f>_xlfn.IFNA(VLOOKUP(Granger_Inventory[[#This Row],[quality]],Lookups!$H$2:$J$14,3,FALSE),0)</f>
        <v>34195</v>
      </c>
      <c r="BK547" s="8">
        <f>_xlfn.IFNA(VLOOKUP(Granger_Inventory[[#This Row],[condition]],Lookups!$H$17:$J$24,3,FALSE),0)</f>
        <v>94106</v>
      </c>
      <c r="BL547" s="8">
        <f>Granger_Inventory[[#This Row],[Age]]*Lookups!$B$16</f>
        <v>-3939.2909</v>
      </c>
      <c r="BM547" s="8">
        <f>Granger_Inventory[[#This Row],[living_area]]*Lookups!$B$17</f>
        <v>69694.733724000005</v>
      </c>
      <c r="BN547" s="8">
        <f>(Granger_Inventory[[#This Row],[att_gar]]+Granger_Inventory[[#This Row],[blt_gar]])*Lookups!$B$18</f>
        <v>0</v>
      </c>
      <c r="BO547" s="8">
        <f>Granger_Inventory[[#This Row],[Patio]]*Lookups!$B$19</f>
        <v>0</v>
      </c>
      <c r="BP547" s="8">
        <f>SUM(Granger_Inventory[[#This Row],[Intercept]:[Patio_Value]])*Granger_Inventory[[#This Row],[res_pct]]</f>
        <v>223760.00182400004</v>
      </c>
      <c r="BQ547" s="8">
        <f>Granger_Inventory[[#This Row],[land_value]]</f>
        <v>21427.618862498482</v>
      </c>
      <c r="BR547" s="4">
        <f>_xlfn.IFNA(VLOOKUP(Granger_Inventory[[#This Row],[quality]],Lookups!$A$25:$C$35,3,FALSE),1)</f>
        <v>0.98258795897788032</v>
      </c>
      <c r="BS547" s="4">
        <f>_xlfn.IFNA(VLOOKUP(Granger_Inventory[[#This Row],[condition]],Lookups!$A$38:$C$45,3,FALSE),1)</f>
        <v>0.98658583151544277</v>
      </c>
      <c r="BT547" s="4">
        <f>IF(Granger_Inventory[[#This Row],[decade]]="",1,_xlfn.IFNA(VLOOKUP(Granger_Inventory[[#This Row],[decade]],Lookups!$G$28:$I$42,3,FALSE),1))</f>
        <v>1.0159161060824455</v>
      </c>
      <c r="BU547" s="4">
        <f>_xlfn.IFNA(VLOOKUP(Granger_Inventory[[#This Row],[living_area_range]],Lookups!$A$48:$C$57,3,FALSE),1)</f>
        <v>0.97960506760539345</v>
      </c>
      <c r="BV547" s="4">
        <f>AVERAGE(Granger_Inventory[[#This Row],[qual_adj]:[living_range_adj]])</f>
        <v>0.99117374104529055</v>
      </c>
      <c r="BW547" s="8">
        <f>(Granger_Inventory[[#This Row],[sum_land]]-IF(Granger_Inventory[[#This Row],[no_utilities]]=1,12000,0))/IF(Granger_Inventory[[#This Row],[unbuildable]]=1,2,1)</f>
        <v>21427.618862498482</v>
      </c>
      <c r="BX547" s="8">
        <f>Granger_Inventory[[#This Row],[pre_res]]*Granger_Inventory[[#This Row],[overall_adj]]</f>
        <v>221785.03810419515</v>
      </c>
      <c r="BY547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47">
        <f>ROUND(Granger_Inventory[[#This Row],[detatched_value]]*Lookups!$I$45,-2)</f>
        <v>0</v>
      </c>
      <c r="CA547">
        <f>IF(ROUND(Granger_Inventory[[#This Row],[adj_res]]*Lookups!$I$45,-2)&lt;Granger_Inventory[[#This Row],[min_res]],Granger_Inventory[[#This Row],[min_res]],ROUND(Granger_Inventory[[#This Row],[adj_res]]*Lookups!$I$45,-2))</f>
        <v>210700</v>
      </c>
      <c r="CB547">
        <f>Granger_Inventory[[#This Row],[final_det]]+Granger_Inventory[[#This Row],[final_res]]</f>
        <v>210700</v>
      </c>
      <c r="CC547">
        <f>Granger_Inventory[[#This Row],[final_land]]+Granger_Inventory[[#This Row],[final_imp]]+Granger_Inventory[[#This Row],[crop_value]]</f>
        <v>231100</v>
      </c>
      <c r="CE547" t="str">
        <f t="shared" si="8"/>
        <v>update valuation set market_land =20400, market_bldg=210700, market_total =231100, market_mdno =402, market_date ='9/10/2023' where link_id = (select link_id from parcel where parcel_year = '2024' and parcel_id = '21102141483');</v>
      </c>
    </row>
    <row r="548" spans="1:83" x14ac:dyDescent="0.25">
      <c r="A548">
        <v>21102141484</v>
      </c>
      <c r="B548">
        <v>0.16</v>
      </c>
      <c r="C548">
        <v>7000</v>
      </c>
      <c r="D548" t="s">
        <v>137</v>
      </c>
      <c r="E548" t="s">
        <v>54</v>
      </c>
      <c r="F548" t="s">
        <v>54</v>
      </c>
      <c r="G548">
        <v>3</v>
      </c>
      <c r="H548" t="s">
        <v>55</v>
      </c>
      <c r="I548">
        <v>164900</v>
      </c>
      <c r="J548">
        <v>25000</v>
      </c>
      <c r="K548">
        <v>0.16</v>
      </c>
      <c r="L548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48">
        <v>0</v>
      </c>
      <c r="N548">
        <v>0</v>
      </c>
      <c r="O548">
        <v>0</v>
      </c>
      <c r="P548">
        <v>47108.068500000001</v>
      </c>
      <c r="Q548">
        <v>122298</v>
      </c>
      <c r="R548">
        <f>(Granger_Inventory[[#This Row],[ln_acres]]*Granger_Inventory[[#This Row],[coeff]])+Granger_Inventory[[#This Row],[const]]</f>
        <v>35968.626873914327</v>
      </c>
      <c r="S548" t="s">
        <v>62</v>
      </c>
      <c r="T548">
        <v>1</v>
      </c>
      <c r="U548" t="s">
        <v>71</v>
      </c>
      <c r="V548" t="s">
        <v>72</v>
      </c>
      <c r="W548">
        <v>0</v>
      </c>
      <c r="X548">
        <v>0</v>
      </c>
      <c r="Y548">
        <v>19</v>
      </c>
      <c r="Z548">
        <v>19</v>
      </c>
      <c r="AA548">
        <v>20</v>
      </c>
      <c r="AB548">
        <v>1500</v>
      </c>
      <c r="AC548">
        <v>1036</v>
      </c>
      <c r="AD548">
        <v>1036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168</v>
      </c>
      <c r="AN548">
        <v>56</v>
      </c>
      <c r="AO548">
        <v>0</v>
      </c>
      <c r="AP548">
        <v>5</v>
      </c>
      <c r="AQ548">
        <v>0</v>
      </c>
      <c r="AR548">
        <v>0</v>
      </c>
      <c r="AS548" t="s">
        <v>59</v>
      </c>
      <c r="AT548">
        <v>1</v>
      </c>
      <c r="AU548" t="s">
        <v>60</v>
      </c>
      <c r="AV548" t="s">
        <v>65</v>
      </c>
      <c r="AW548">
        <v>0</v>
      </c>
      <c r="AX548">
        <v>3</v>
      </c>
      <c r="AY548">
        <v>0</v>
      </c>
      <c r="AZ548">
        <v>0</v>
      </c>
      <c r="BA548">
        <v>100</v>
      </c>
      <c r="BB548">
        <v>100</v>
      </c>
      <c r="BC548">
        <v>100</v>
      </c>
      <c r="BD548">
        <v>100</v>
      </c>
      <c r="BE548">
        <v>1</v>
      </c>
      <c r="BF548">
        <v>15000</v>
      </c>
      <c r="BG548">
        <v>1000</v>
      </c>
      <c r="BH548" s="8">
        <f>Granger_Inventory[[#This Row],[land_extract]]*Lookups!$B$3</f>
        <v>21427.618862498482</v>
      </c>
      <c r="BI548" s="8">
        <f>IF(Granger_Inventory[[#This Row],[bldg_style]]="",0,Lookups!$B$2)</f>
        <v>29703.559000000001</v>
      </c>
      <c r="BJ548" s="8">
        <f>_xlfn.IFNA(VLOOKUP(Granger_Inventory[[#This Row],[quality]],Lookups!$H$2:$J$14,3,FALSE),0)</f>
        <v>34195</v>
      </c>
      <c r="BK548" s="8">
        <f>_xlfn.IFNA(VLOOKUP(Granger_Inventory[[#This Row],[condition]],Lookups!$H$17:$J$24,3,FALSE),0)</f>
        <v>94106</v>
      </c>
      <c r="BL548" s="8">
        <f>Granger_Inventory[[#This Row],[Age]]*Lookups!$B$16</f>
        <v>-3939.2909</v>
      </c>
      <c r="BM548" s="8">
        <f>Granger_Inventory[[#This Row],[living_area]]*Lookups!$B$17</f>
        <v>69694.733724000005</v>
      </c>
      <c r="BN548" s="8">
        <f>(Granger_Inventory[[#This Row],[att_gar]]+Granger_Inventory[[#This Row],[blt_gar]])*Lookups!$B$18</f>
        <v>0</v>
      </c>
      <c r="BO548" s="8">
        <f>Granger_Inventory[[#This Row],[Patio]]*Lookups!$B$19</f>
        <v>9124.9361279999994</v>
      </c>
      <c r="BP548" s="8">
        <f>SUM(Granger_Inventory[[#This Row],[Intercept]:[Patio_Value]])*Granger_Inventory[[#This Row],[res_pct]]</f>
        <v>232884.93795200004</v>
      </c>
      <c r="BQ548" s="8">
        <f>Granger_Inventory[[#This Row],[land_value]]</f>
        <v>21427.618862498482</v>
      </c>
      <c r="BR548" s="4">
        <f>_xlfn.IFNA(VLOOKUP(Granger_Inventory[[#This Row],[quality]],Lookups!$A$25:$C$35,3,FALSE),1)</f>
        <v>0.98258795897788032</v>
      </c>
      <c r="BS548" s="4">
        <f>_xlfn.IFNA(VLOOKUP(Granger_Inventory[[#This Row],[condition]],Lookups!$A$38:$C$45,3,FALSE),1)</f>
        <v>0.98658583151544277</v>
      </c>
      <c r="BT548" s="4">
        <f>IF(Granger_Inventory[[#This Row],[decade]]="",1,_xlfn.IFNA(VLOOKUP(Granger_Inventory[[#This Row],[decade]],Lookups!$G$28:$I$42,3,FALSE),1))</f>
        <v>1.0159161060824455</v>
      </c>
      <c r="BU548" s="4">
        <f>_xlfn.IFNA(VLOOKUP(Granger_Inventory[[#This Row],[living_area_range]],Lookups!$A$48:$C$57,3,FALSE),1)</f>
        <v>0.97960506760539345</v>
      </c>
      <c r="BV548" s="4">
        <f>AVERAGE(Granger_Inventory[[#This Row],[qual_adj]:[living_range_adj]])</f>
        <v>0.99117374104529055</v>
      </c>
      <c r="BW548" s="8">
        <f>(Granger_Inventory[[#This Row],[sum_land]]-IF(Granger_Inventory[[#This Row],[no_utilities]]=1,12000,0))/IF(Granger_Inventory[[#This Row],[unbuildable]]=1,2,1)</f>
        <v>21427.618862498482</v>
      </c>
      <c r="BX548" s="8">
        <f>Granger_Inventory[[#This Row],[pre_res]]*Granger_Inventory[[#This Row],[overall_adj]]</f>
        <v>230829.43518298425</v>
      </c>
      <c r="BY548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48">
        <f>ROUND(Granger_Inventory[[#This Row],[detatched_value]]*Lookups!$I$45,-2)</f>
        <v>0</v>
      </c>
      <c r="CA548">
        <f>IF(ROUND(Granger_Inventory[[#This Row],[adj_res]]*Lookups!$I$45,-2)&lt;Granger_Inventory[[#This Row],[min_res]],Granger_Inventory[[#This Row],[min_res]],ROUND(Granger_Inventory[[#This Row],[adj_res]]*Lookups!$I$45,-2))</f>
        <v>219300</v>
      </c>
      <c r="CB548">
        <f>Granger_Inventory[[#This Row],[final_det]]+Granger_Inventory[[#This Row],[final_res]]</f>
        <v>219300</v>
      </c>
      <c r="CC548">
        <f>Granger_Inventory[[#This Row],[final_land]]+Granger_Inventory[[#This Row],[final_imp]]+Granger_Inventory[[#This Row],[crop_value]]</f>
        <v>239700</v>
      </c>
      <c r="CE548" t="str">
        <f t="shared" si="8"/>
        <v>update valuation set market_land =20400, market_bldg=219300, market_total =239700, market_mdno =402, market_date ='9/10/2023' where link_id = (select link_id from parcel where parcel_year = '2024' and parcel_id = '21102141484');</v>
      </c>
    </row>
    <row r="549" spans="1:83" x14ac:dyDescent="0.25">
      <c r="A549">
        <v>21102141485</v>
      </c>
      <c r="B549">
        <v>0.64</v>
      </c>
      <c r="C549" t="s">
        <v>137</v>
      </c>
      <c r="D549" t="s">
        <v>137</v>
      </c>
      <c r="E549" t="s">
        <v>54</v>
      </c>
      <c r="F549" t="s">
        <v>54</v>
      </c>
      <c r="G549">
        <v>3</v>
      </c>
      <c r="H549" t="s">
        <v>55</v>
      </c>
      <c r="I549">
        <v>179700</v>
      </c>
      <c r="J549">
        <v>32700</v>
      </c>
      <c r="K549">
        <v>0.64</v>
      </c>
      <c r="L549">
        <f>IF(Granger_Inventory[[#This Row],[parcel_acres]]-Granger_Inventory[[#This Row],[non_valued_acres]] =0,0,LN(Granger_Inventory[[#This Row],[parcel_acres]]-Granger_Inventory[[#This Row],[non_valued_acres]]))</f>
        <v>-0.44628710262841947</v>
      </c>
      <c r="M549">
        <v>0</v>
      </c>
      <c r="N549">
        <v>0</v>
      </c>
      <c r="O549">
        <v>0</v>
      </c>
      <c r="P549">
        <v>47108.068500000001</v>
      </c>
      <c r="Q549">
        <v>122298</v>
      </c>
      <c r="R549">
        <f>(Granger_Inventory[[#This Row],[ln_acres]]*Granger_Inventory[[#This Row],[coeff]])+Granger_Inventory[[#This Row],[const]]</f>
        <v>101274.27659871388</v>
      </c>
      <c r="S549" t="s">
        <v>69</v>
      </c>
      <c r="T549">
        <v>1</v>
      </c>
      <c r="U549" t="s">
        <v>71</v>
      </c>
      <c r="V549" t="s">
        <v>72</v>
      </c>
      <c r="W549">
        <v>0</v>
      </c>
      <c r="X549">
        <v>0</v>
      </c>
      <c r="Y549">
        <v>49</v>
      </c>
      <c r="Z549">
        <v>68</v>
      </c>
      <c r="AA549">
        <v>70</v>
      </c>
      <c r="AB549">
        <v>1500</v>
      </c>
      <c r="AC549">
        <v>1327</v>
      </c>
      <c r="AD549">
        <v>1327</v>
      </c>
      <c r="AE549">
        <v>0</v>
      </c>
      <c r="AF549">
        <v>0</v>
      </c>
      <c r="AG549">
        <v>0</v>
      </c>
      <c r="AH549">
        <v>540</v>
      </c>
      <c r="AI549">
        <v>0</v>
      </c>
      <c r="AJ549">
        <v>0</v>
      </c>
      <c r="AK549">
        <v>0</v>
      </c>
      <c r="AL549">
        <v>0</v>
      </c>
      <c r="AM549">
        <v>221</v>
      </c>
      <c r="AN549">
        <v>30</v>
      </c>
      <c r="AO549">
        <v>221</v>
      </c>
      <c r="AP549">
        <v>5</v>
      </c>
      <c r="AQ549">
        <v>0</v>
      </c>
      <c r="AR549">
        <v>1</v>
      </c>
      <c r="AS549" t="s">
        <v>59</v>
      </c>
      <c r="AT549">
        <v>1</v>
      </c>
      <c r="AU549" t="s">
        <v>60</v>
      </c>
      <c r="AV549" t="s">
        <v>61</v>
      </c>
      <c r="AW549">
        <v>0</v>
      </c>
      <c r="AX549">
        <v>3</v>
      </c>
      <c r="AY549">
        <v>0</v>
      </c>
      <c r="AZ549">
        <v>14700</v>
      </c>
      <c r="BA549">
        <v>100</v>
      </c>
      <c r="BB549">
        <v>100</v>
      </c>
      <c r="BC549">
        <v>100</v>
      </c>
      <c r="BD549">
        <v>100</v>
      </c>
      <c r="BE549">
        <v>1</v>
      </c>
      <c r="BF549">
        <v>15000</v>
      </c>
      <c r="BG549">
        <v>1000</v>
      </c>
      <c r="BH549" s="8">
        <f>Granger_Inventory[[#This Row],[land_extract]]*Lookups!$B$3</f>
        <v>60332.2058175731</v>
      </c>
      <c r="BI549" s="8">
        <f>IF(Granger_Inventory[[#This Row],[bldg_style]]="",0,Lookups!$B$2)</f>
        <v>29703.559000000001</v>
      </c>
      <c r="BJ549" s="8">
        <f>_xlfn.IFNA(VLOOKUP(Granger_Inventory[[#This Row],[quality]],Lookups!$H$2:$J$14,3,FALSE),0)</f>
        <v>34195</v>
      </c>
      <c r="BK549" s="8">
        <f>_xlfn.IFNA(VLOOKUP(Granger_Inventory[[#This Row],[condition]],Lookups!$H$17:$J$24,3,FALSE),0)</f>
        <v>94106</v>
      </c>
      <c r="BL549" s="8">
        <f>Granger_Inventory[[#This Row],[Age]]*Lookups!$B$16</f>
        <v>-14098.514799999999</v>
      </c>
      <c r="BM549" s="8">
        <f>Granger_Inventory[[#This Row],[living_area]]*Lookups!$B$17</f>
        <v>89271.150242999996</v>
      </c>
      <c r="BN549" s="8">
        <f>(Granger_Inventory[[#This Row],[att_gar]]+Granger_Inventory[[#This Row],[blt_gar]])*Lookups!$B$18</f>
        <v>0</v>
      </c>
      <c r="BO549" s="8">
        <f>Granger_Inventory[[#This Row],[Patio]]*Lookups!$B$19</f>
        <v>12003.636215999999</v>
      </c>
      <c r="BP549" s="8">
        <f>SUM(Granger_Inventory[[#This Row],[Intercept]:[Patio_Value]])*Granger_Inventory[[#This Row],[res_pct]]</f>
        <v>245180.83065900003</v>
      </c>
      <c r="BQ549" s="8">
        <f>Granger_Inventory[[#This Row],[land_value]]</f>
        <v>60332.2058175731</v>
      </c>
      <c r="BR549" s="4">
        <f>_xlfn.IFNA(VLOOKUP(Granger_Inventory[[#This Row],[quality]],Lookups!$A$25:$C$35,3,FALSE),1)</f>
        <v>0.98258795897788032</v>
      </c>
      <c r="BS549" s="4">
        <f>_xlfn.IFNA(VLOOKUP(Granger_Inventory[[#This Row],[condition]],Lookups!$A$38:$C$45,3,FALSE),1)</f>
        <v>0.98658583151544277</v>
      </c>
      <c r="BT549" s="4">
        <f>IF(Granger_Inventory[[#This Row],[decade]]="",1,_xlfn.IFNA(VLOOKUP(Granger_Inventory[[#This Row],[decade]],Lookups!$G$28:$I$42,3,FALSE),1))</f>
        <v>1.0270382440255921</v>
      </c>
      <c r="BU549" s="4">
        <f>_xlfn.IFNA(VLOOKUP(Granger_Inventory[[#This Row],[living_area_range]],Lookups!$A$48:$C$57,3,FALSE),1)</f>
        <v>0.97960506760539345</v>
      </c>
      <c r="BV549" s="4">
        <f>AVERAGE(Granger_Inventory[[#This Row],[qual_adj]:[living_range_adj]])</f>
        <v>0.99395427553107718</v>
      </c>
      <c r="BW549" s="8">
        <f>(Granger_Inventory[[#This Row],[sum_land]]-IF(Granger_Inventory[[#This Row],[no_utilities]]=1,12000,0))/IF(Granger_Inventory[[#This Row],[unbuildable]]=1,2,1)</f>
        <v>60332.2058175731</v>
      </c>
      <c r="BX549" s="8">
        <f>Granger_Inventory[[#This Row],[pre_res]]*Granger_Inventory[[#This Row],[overall_adj]]</f>
        <v>243698.5349117741</v>
      </c>
      <c r="BY549">
        <f>IF(ROUND(Granger_Inventory[[#This Row],[adj_land]]*Lookups!$I$45,-2)&lt;Granger_Inventory[[#This Row],[min_land]],Granger_Inventory[[#This Row],[min_land]],ROUND(Granger_Inventory[[#This Row],[adj_land]]*Lookups!$I$45,-2))</f>
        <v>57300</v>
      </c>
      <c r="BZ549">
        <f>ROUND(Granger_Inventory[[#This Row],[detatched_value]]*Lookups!$I$45,-2)</f>
        <v>14000</v>
      </c>
      <c r="CA549">
        <f>IF(ROUND(Granger_Inventory[[#This Row],[adj_res]]*Lookups!$I$45,-2)&lt;Granger_Inventory[[#This Row],[min_res]],Granger_Inventory[[#This Row],[min_res]],ROUND(Granger_Inventory[[#This Row],[adj_res]]*Lookups!$I$45,-2))</f>
        <v>231500</v>
      </c>
      <c r="CB549">
        <f>Granger_Inventory[[#This Row],[final_det]]+Granger_Inventory[[#This Row],[final_res]]</f>
        <v>245500</v>
      </c>
      <c r="CC549">
        <f>Granger_Inventory[[#This Row],[final_land]]+Granger_Inventory[[#This Row],[final_imp]]+Granger_Inventory[[#This Row],[crop_value]]</f>
        <v>302800</v>
      </c>
      <c r="CE549" t="str">
        <f t="shared" si="8"/>
        <v>update valuation set market_land =57300, market_bldg=245500, market_total =302800, market_mdno =402, market_date ='9/10/2023' where link_id = (select link_id from parcel where parcel_year = '2024' and parcel_id = '21102141485');</v>
      </c>
    </row>
    <row r="550" spans="1:83" x14ac:dyDescent="0.25">
      <c r="A550">
        <v>21102141486</v>
      </c>
      <c r="B550">
        <v>0.16</v>
      </c>
      <c r="C550" t="s">
        <v>137</v>
      </c>
      <c r="D550" t="s">
        <v>137</v>
      </c>
      <c r="E550" t="s">
        <v>54</v>
      </c>
      <c r="F550" t="s">
        <v>54</v>
      </c>
      <c r="G550">
        <v>3</v>
      </c>
      <c r="H550" t="s">
        <v>55</v>
      </c>
      <c r="I550">
        <v>129300</v>
      </c>
      <c r="J550">
        <v>25000</v>
      </c>
      <c r="K550">
        <v>0.16</v>
      </c>
      <c r="L550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50">
        <v>0</v>
      </c>
      <c r="N550">
        <v>0</v>
      </c>
      <c r="O550">
        <v>0</v>
      </c>
      <c r="P550">
        <v>47108.068500000001</v>
      </c>
      <c r="Q550">
        <v>122298</v>
      </c>
      <c r="R550">
        <f>(Granger_Inventory[[#This Row],[ln_acres]]*Granger_Inventory[[#This Row],[coeff]])+Granger_Inventory[[#This Row],[const]]</f>
        <v>35968.626873914327</v>
      </c>
      <c r="S550" t="s">
        <v>69</v>
      </c>
      <c r="T550">
        <v>1</v>
      </c>
      <c r="U550" t="s">
        <v>71</v>
      </c>
      <c r="V550" t="s">
        <v>72</v>
      </c>
      <c r="W550">
        <v>0</v>
      </c>
      <c r="X550">
        <v>0</v>
      </c>
      <c r="Y550">
        <v>33</v>
      </c>
      <c r="Z550">
        <v>33</v>
      </c>
      <c r="AA550">
        <v>40</v>
      </c>
      <c r="AB550">
        <v>1000</v>
      </c>
      <c r="AC550">
        <v>968</v>
      </c>
      <c r="AD550">
        <v>968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80</v>
      </c>
      <c r="AM550">
        <v>364</v>
      </c>
      <c r="AN550">
        <v>0</v>
      </c>
      <c r="AO550">
        <v>160</v>
      </c>
      <c r="AP550">
        <v>5</v>
      </c>
      <c r="AQ550">
        <v>0</v>
      </c>
      <c r="AR550">
        <v>0</v>
      </c>
      <c r="AS550" t="s">
        <v>59</v>
      </c>
      <c r="AT550">
        <v>1</v>
      </c>
      <c r="AU550" t="s">
        <v>60</v>
      </c>
      <c r="AV550" t="s">
        <v>65</v>
      </c>
      <c r="AW550">
        <v>0</v>
      </c>
      <c r="AX550">
        <v>2</v>
      </c>
      <c r="AY550">
        <v>0</v>
      </c>
      <c r="AZ550">
        <v>0</v>
      </c>
      <c r="BA550">
        <v>100</v>
      </c>
      <c r="BB550">
        <v>100</v>
      </c>
      <c r="BC550">
        <v>100</v>
      </c>
      <c r="BD550">
        <v>100</v>
      </c>
      <c r="BE550">
        <v>1</v>
      </c>
      <c r="BF550">
        <v>15000</v>
      </c>
      <c r="BG550">
        <v>1000</v>
      </c>
      <c r="BH550" s="8">
        <f>Granger_Inventory[[#This Row],[land_extract]]*Lookups!$B$3</f>
        <v>21427.618862498482</v>
      </c>
      <c r="BI550" s="8">
        <f>IF(Granger_Inventory[[#This Row],[bldg_style]]="",0,Lookups!$B$2)</f>
        <v>29703.559000000001</v>
      </c>
      <c r="BJ550" s="8">
        <f>_xlfn.IFNA(VLOOKUP(Granger_Inventory[[#This Row],[quality]],Lookups!$H$2:$J$14,3,FALSE),0)</f>
        <v>34195</v>
      </c>
      <c r="BK550" s="8">
        <f>_xlfn.IFNA(VLOOKUP(Granger_Inventory[[#This Row],[condition]],Lookups!$H$17:$J$24,3,FALSE),0)</f>
        <v>94106</v>
      </c>
      <c r="BL550" s="8">
        <f>Granger_Inventory[[#This Row],[Age]]*Lookups!$B$16</f>
        <v>-6841.9263000000001</v>
      </c>
      <c r="BM550" s="8">
        <f>Granger_Inventory[[#This Row],[living_area]]*Lookups!$B$17</f>
        <v>65120.175911999999</v>
      </c>
      <c r="BN550" s="8">
        <f>(Granger_Inventory[[#This Row],[att_gar]]+Granger_Inventory[[#This Row],[blt_gar]])*Lookups!$B$18</f>
        <v>0</v>
      </c>
      <c r="BO550" s="8">
        <f>Granger_Inventory[[#This Row],[Patio]]*Lookups!$B$19</f>
        <v>19770.694943999999</v>
      </c>
      <c r="BP550" s="8">
        <f>SUM(Granger_Inventory[[#This Row],[Intercept]:[Patio_Value]])*Granger_Inventory[[#This Row],[res_pct]]</f>
        <v>236053.50355600001</v>
      </c>
      <c r="BQ550" s="8">
        <f>Granger_Inventory[[#This Row],[land_value]]</f>
        <v>21427.618862498482</v>
      </c>
      <c r="BR550" s="4">
        <f>_xlfn.IFNA(VLOOKUP(Granger_Inventory[[#This Row],[quality]],Lookups!$A$25:$C$35,3,FALSE),1)</f>
        <v>0.98258795897788032</v>
      </c>
      <c r="BS550" s="4">
        <f>_xlfn.IFNA(VLOOKUP(Granger_Inventory[[#This Row],[condition]],Lookups!$A$38:$C$45,3,FALSE),1)</f>
        <v>0.98658583151544277</v>
      </c>
      <c r="BT550" s="4">
        <f>IF(Granger_Inventory[[#This Row],[decade]]="",1,_xlfn.IFNA(VLOOKUP(Granger_Inventory[[#This Row],[decade]],Lookups!$G$28:$I$42,3,FALSE),1))</f>
        <v>0.98127609555109363</v>
      </c>
      <c r="BU550" s="4">
        <f>_xlfn.IFNA(VLOOKUP(Granger_Inventory[[#This Row],[living_area_range]],Lookups!$A$48:$C$57,3,FALSE),1)</f>
        <v>0.81272404900450645</v>
      </c>
      <c r="BV550" s="4">
        <f>AVERAGE(Granger_Inventory[[#This Row],[qual_adj]:[living_range_adj]])</f>
        <v>0.94079348376223082</v>
      </c>
      <c r="BW550" s="8">
        <f>(Granger_Inventory[[#This Row],[sum_land]]-IF(Granger_Inventory[[#This Row],[no_utilities]]=1,12000,0))/IF(Granger_Inventory[[#This Row],[unbuildable]]=1,2,1)</f>
        <v>21427.618862498482</v>
      </c>
      <c r="BX550" s="8">
        <f>Granger_Inventory[[#This Row],[pre_res]]*Granger_Inventory[[#This Row],[overall_adj]]</f>
        <v>222077.59796472939</v>
      </c>
      <c r="BY550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50">
        <f>ROUND(Granger_Inventory[[#This Row],[detatched_value]]*Lookups!$I$45,-2)</f>
        <v>0</v>
      </c>
      <c r="CA550">
        <f>IF(ROUND(Granger_Inventory[[#This Row],[adj_res]]*Lookups!$I$45,-2)&lt;Granger_Inventory[[#This Row],[min_res]],Granger_Inventory[[#This Row],[min_res]],ROUND(Granger_Inventory[[#This Row],[adj_res]]*Lookups!$I$45,-2))</f>
        <v>211000</v>
      </c>
      <c r="CB550">
        <f>Granger_Inventory[[#This Row],[final_det]]+Granger_Inventory[[#This Row],[final_res]]</f>
        <v>211000</v>
      </c>
      <c r="CC550">
        <f>Granger_Inventory[[#This Row],[final_land]]+Granger_Inventory[[#This Row],[final_imp]]+Granger_Inventory[[#This Row],[crop_value]]</f>
        <v>231400</v>
      </c>
      <c r="CE550" t="str">
        <f t="shared" si="8"/>
        <v>update valuation set market_land =20400, market_bldg=211000, market_total =231400, market_mdno =402, market_date ='9/10/2023' where link_id = (select link_id from parcel where parcel_year = '2024' and parcel_id = '21102141486');</v>
      </c>
    </row>
    <row r="551" spans="1:83" x14ac:dyDescent="0.25">
      <c r="A551">
        <v>21102141487</v>
      </c>
      <c r="B551">
        <v>0.16</v>
      </c>
      <c r="C551" t="s">
        <v>137</v>
      </c>
      <c r="D551" t="s">
        <v>137</v>
      </c>
      <c r="E551" t="s">
        <v>54</v>
      </c>
      <c r="F551" t="s">
        <v>54</v>
      </c>
      <c r="G551">
        <v>3</v>
      </c>
      <c r="H551" t="s">
        <v>55</v>
      </c>
      <c r="I551">
        <v>174000</v>
      </c>
      <c r="J551">
        <v>25000</v>
      </c>
      <c r="K551">
        <v>0.16</v>
      </c>
      <c r="L55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51">
        <v>0</v>
      </c>
      <c r="N551">
        <v>0</v>
      </c>
      <c r="O551">
        <v>0</v>
      </c>
      <c r="P551">
        <v>47108.068500000001</v>
      </c>
      <c r="Q551">
        <v>122298</v>
      </c>
      <c r="R551">
        <f>(Granger_Inventory[[#This Row],[ln_acres]]*Granger_Inventory[[#This Row],[coeff]])+Granger_Inventory[[#This Row],[const]]</f>
        <v>35968.626873914327</v>
      </c>
      <c r="S551" t="s">
        <v>56</v>
      </c>
      <c r="T551">
        <v>1</v>
      </c>
      <c r="U551" t="s">
        <v>71</v>
      </c>
      <c r="V551" t="s">
        <v>72</v>
      </c>
      <c r="W551">
        <v>0</v>
      </c>
      <c r="X551">
        <v>0</v>
      </c>
      <c r="Y551">
        <v>27</v>
      </c>
      <c r="Z551">
        <v>27</v>
      </c>
      <c r="AA551">
        <v>30</v>
      </c>
      <c r="AB551">
        <v>1500</v>
      </c>
      <c r="AC551">
        <v>1126</v>
      </c>
      <c r="AD551">
        <v>1126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40</v>
      </c>
      <c r="AO551">
        <v>0</v>
      </c>
      <c r="AP551">
        <v>5</v>
      </c>
      <c r="AQ551">
        <v>0</v>
      </c>
      <c r="AR551">
        <v>0</v>
      </c>
      <c r="AS551" t="s">
        <v>59</v>
      </c>
      <c r="AT551">
        <v>1</v>
      </c>
      <c r="AU551" t="s">
        <v>76</v>
      </c>
      <c r="AV551" t="s">
        <v>65</v>
      </c>
      <c r="AW551">
        <v>0</v>
      </c>
      <c r="AX551">
        <v>4</v>
      </c>
      <c r="AY551">
        <v>0</v>
      </c>
      <c r="AZ551">
        <v>0</v>
      </c>
      <c r="BA551">
        <v>100</v>
      </c>
      <c r="BB551">
        <v>100</v>
      </c>
      <c r="BC551">
        <v>100</v>
      </c>
      <c r="BD551">
        <v>100</v>
      </c>
      <c r="BE551">
        <v>1</v>
      </c>
      <c r="BF551">
        <v>15000</v>
      </c>
      <c r="BG551">
        <v>1000</v>
      </c>
      <c r="BH551" s="8">
        <f>Granger_Inventory[[#This Row],[land_extract]]*Lookups!$B$3</f>
        <v>21427.618862498482</v>
      </c>
      <c r="BI551" s="8">
        <f>IF(Granger_Inventory[[#This Row],[bldg_style]]="",0,Lookups!$B$2)</f>
        <v>29703.559000000001</v>
      </c>
      <c r="BJ551" s="8">
        <f>_xlfn.IFNA(VLOOKUP(Granger_Inventory[[#This Row],[quality]],Lookups!$H$2:$J$14,3,FALSE),0)</f>
        <v>34195</v>
      </c>
      <c r="BK551" s="8">
        <f>_xlfn.IFNA(VLOOKUP(Granger_Inventory[[#This Row],[condition]],Lookups!$H$17:$J$24,3,FALSE),0)</f>
        <v>94106</v>
      </c>
      <c r="BL551" s="8">
        <f>Granger_Inventory[[#This Row],[Age]]*Lookups!$B$16</f>
        <v>-5597.9396999999999</v>
      </c>
      <c r="BM551" s="8">
        <f>Granger_Inventory[[#This Row],[living_area]]*Lookups!$B$17</f>
        <v>75749.295534000004</v>
      </c>
      <c r="BN551" s="8">
        <f>(Granger_Inventory[[#This Row],[att_gar]]+Granger_Inventory[[#This Row],[blt_gar]])*Lookups!$B$18</f>
        <v>0</v>
      </c>
      <c r="BO551" s="8">
        <f>Granger_Inventory[[#This Row],[Patio]]*Lookups!$B$19</f>
        <v>0</v>
      </c>
      <c r="BP551" s="8">
        <f>SUM(Granger_Inventory[[#This Row],[Intercept]:[Patio_Value]])*Granger_Inventory[[#This Row],[res_pct]]</f>
        <v>228155.91483400002</v>
      </c>
      <c r="BQ551" s="8">
        <f>Granger_Inventory[[#This Row],[land_value]]</f>
        <v>21427.618862498482</v>
      </c>
      <c r="BR551" s="4">
        <f>_xlfn.IFNA(VLOOKUP(Granger_Inventory[[#This Row],[quality]],Lookups!$A$25:$C$35,3,FALSE),1)</f>
        <v>0.98258795897788032</v>
      </c>
      <c r="BS551" s="4">
        <f>_xlfn.IFNA(VLOOKUP(Granger_Inventory[[#This Row],[condition]],Lookups!$A$38:$C$45,3,FALSE),1)</f>
        <v>0.98658583151544277</v>
      </c>
      <c r="BT551" s="4">
        <f>IF(Granger_Inventory[[#This Row],[decade]]="",1,_xlfn.IFNA(VLOOKUP(Granger_Inventory[[#This Row],[decade]],Lookups!$G$28:$I$42,3,FALSE),1))</f>
        <v>1.0539470644652671</v>
      </c>
      <c r="BU551" s="4">
        <f>_xlfn.IFNA(VLOOKUP(Granger_Inventory[[#This Row],[living_area_range]],Lookups!$A$48:$C$57,3,FALSE),1)</f>
        <v>0.97960506760539345</v>
      </c>
      <c r="BV551" s="4">
        <f>AVERAGE(Granger_Inventory[[#This Row],[qual_adj]:[living_range_adj]])</f>
        <v>1.0006814806409958</v>
      </c>
      <c r="BW551" s="8">
        <f>(Granger_Inventory[[#This Row],[sum_land]]-IF(Granger_Inventory[[#This Row],[no_utilities]]=1,12000,0))/IF(Granger_Inventory[[#This Row],[unbuildable]]=1,2,1)</f>
        <v>21427.618862498482</v>
      </c>
      <c r="BX551" s="8">
        <f>Granger_Inventory[[#This Row],[pre_res]]*Granger_Inventory[[#This Row],[overall_adj]]</f>
        <v>228311.39867308809</v>
      </c>
      <c r="BY55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51">
        <f>ROUND(Granger_Inventory[[#This Row],[detatched_value]]*Lookups!$I$45,-2)</f>
        <v>0</v>
      </c>
      <c r="CA551">
        <f>IF(ROUND(Granger_Inventory[[#This Row],[adj_res]]*Lookups!$I$45,-2)&lt;Granger_Inventory[[#This Row],[min_res]],Granger_Inventory[[#This Row],[min_res]],ROUND(Granger_Inventory[[#This Row],[adj_res]]*Lookups!$I$45,-2))</f>
        <v>216900</v>
      </c>
      <c r="CB551">
        <f>Granger_Inventory[[#This Row],[final_det]]+Granger_Inventory[[#This Row],[final_res]]</f>
        <v>216900</v>
      </c>
      <c r="CC551">
        <f>Granger_Inventory[[#This Row],[final_land]]+Granger_Inventory[[#This Row],[final_imp]]+Granger_Inventory[[#This Row],[crop_value]]</f>
        <v>237300</v>
      </c>
      <c r="CE551" t="str">
        <f t="shared" si="8"/>
        <v>update valuation set market_land =20400, market_bldg=216900, market_total =237300, market_mdno =402, market_date ='9/10/2023' where link_id = (select link_id from parcel where parcel_year = '2024' and parcel_id = '21102141487');</v>
      </c>
    </row>
    <row r="552" spans="1:83" x14ac:dyDescent="0.25">
      <c r="A552">
        <v>21102141488</v>
      </c>
      <c r="B552">
        <v>0.16</v>
      </c>
      <c r="C552" t="s">
        <v>137</v>
      </c>
      <c r="D552" t="s">
        <v>137</v>
      </c>
      <c r="E552" t="s">
        <v>54</v>
      </c>
      <c r="F552" t="s">
        <v>54</v>
      </c>
      <c r="G552">
        <v>3</v>
      </c>
      <c r="H552" t="s">
        <v>55</v>
      </c>
      <c r="I552">
        <v>139100</v>
      </c>
      <c r="J552">
        <v>25000</v>
      </c>
      <c r="K552">
        <v>0.16</v>
      </c>
      <c r="L55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552">
        <v>0</v>
      </c>
      <c r="N552">
        <v>0</v>
      </c>
      <c r="O552">
        <v>0</v>
      </c>
      <c r="P552">
        <v>47108.068500000001</v>
      </c>
      <c r="Q552">
        <v>122298</v>
      </c>
      <c r="R552">
        <f>(Granger_Inventory[[#This Row],[ln_acres]]*Granger_Inventory[[#This Row],[coeff]])+Granger_Inventory[[#This Row],[const]]</f>
        <v>35968.626873914327</v>
      </c>
      <c r="S552" t="s">
        <v>69</v>
      </c>
      <c r="T552">
        <v>1</v>
      </c>
      <c r="U552" t="s">
        <v>71</v>
      </c>
      <c r="V552" t="s">
        <v>77</v>
      </c>
      <c r="W552">
        <v>0</v>
      </c>
      <c r="X552">
        <v>0</v>
      </c>
      <c r="Y552">
        <v>27</v>
      </c>
      <c r="Z552">
        <v>27</v>
      </c>
      <c r="AA552">
        <v>30</v>
      </c>
      <c r="AB552">
        <v>1500</v>
      </c>
      <c r="AC552">
        <v>1126</v>
      </c>
      <c r="AD552">
        <v>1126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40</v>
      </c>
      <c r="AO552">
        <v>0</v>
      </c>
      <c r="AP552">
        <v>5</v>
      </c>
      <c r="AQ552">
        <v>0</v>
      </c>
      <c r="AR552">
        <v>0</v>
      </c>
      <c r="AS552" t="s">
        <v>59</v>
      </c>
      <c r="AT552">
        <v>0</v>
      </c>
      <c r="AU552" t="s">
        <v>83</v>
      </c>
      <c r="AV552" t="s">
        <v>65</v>
      </c>
      <c r="AW552">
        <v>0</v>
      </c>
      <c r="AX552">
        <v>4</v>
      </c>
      <c r="AY552">
        <v>0</v>
      </c>
      <c r="AZ552">
        <v>1700</v>
      </c>
      <c r="BA552">
        <v>100</v>
      </c>
      <c r="BB552">
        <v>100</v>
      </c>
      <c r="BC552">
        <v>100</v>
      </c>
      <c r="BD552">
        <v>100</v>
      </c>
      <c r="BE552">
        <v>1</v>
      </c>
      <c r="BF552">
        <v>15000</v>
      </c>
      <c r="BG552">
        <v>1000</v>
      </c>
      <c r="BH552" s="8">
        <f>Granger_Inventory[[#This Row],[land_extract]]*Lookups!$B$3</f>
        <v>21427.618862498482</v>
      </c>
      <c r="BI552" s="8">
        <f>IF(Granger_Inventory[[#This Row],[bldg_style]]="",0,Lookups!$B$2)</f>
        <v>29703.559000000001</v>
      </c>
      <c r="BJ552" s="8">
        <f>_xlfn.IFNA(VLOOKUP(Granger_Inventory[[#This Row],[quality]],Lookups!$H$2:$J$14,3,FALSE),0)</f>
        <v>34195</v>
      </c>
      <c r="BK552" s="8">
        <f>_xlfn.IFNA(VLOOKUP(Granger_Inventory[[#This Row],[condition]],Lookups!$H$17:$J$24,3,FALSE),0)</f>
        <v>33736</v>
      </c>
      <c r="BL552" s="8">
        <f>Granger_Inventory[[#This Row],[Age]]*Lookups!$B$16</f>
        <v>-5597.9396999999999</v>
      </c>
      <c r="BM552" s="8">
        <f>Granger_Inventory[[#This Row],[living_area]]*Lookups!$B$17</f>
        <v>75749.295534000004</v>
      </c>
      <c r="BN552" s="8">
        <f>(Granger_Inventory[[#This Row],[att_gar]]+Granger_Inventory[[#This Row],[blt_gar]])*Lookups!$B$18</f>
        <v>0</v>
      </c>
      <c r="BO552" s="8">
        <f>Granger_Inventory[[#This Row],[Patio]]*Lookups!$B$19</f>
        <v>0</v>
      </c>
      <c r="BP552" s="8">
        <f>SUM(Granger_Inventory[[#This Row],[Intercept]:[Patio_Value]])*Granger_Inventory[[#This Row],[res_pct]]</f>
        <v>167785.914834</v>
      </c>
      <c r="BQ552" s="8">
        <f>Granger_Inventory[[#This Row],[land_value]]</f>
        <v>21427.618862498482</v>
      </c>
      <c r="BR552" s="4">
        <f>_xlfn.IFNA(VLOOKUP(Granger_Inventory[[#This Row],[quality]],Lookups!$A$25:$C$35,3,FALSE),1)</f>
        <v>0.98258795897788032</v>
      </c>
      <c r="BS552" s="4">
        <f>_xlfn.IFNA(VLOOKUP(Granger_Inventory[[#This Row],[condition]],Lookups!$A$38:$C$45,3,FALSE),1)</f>
        <v>0.92294678898076177</v>
      </c>
      <c r="BT552" s="4">
        <f>IF(Granger_Inventory[[#This Row],[decade]]="",1,_xlfn.IFNA(VLOOKUP(Granger_Inventory[[#This Row],[decade]],Lookups!$G$28:$I$42,3,FALSE),1))</f>
        <v>1.0539470644652671</v>
      </c>
      <c r="BU552" s="4">
        <f>_xlfn.IFNA(VLOOKUP(Granger_Inventory[[#This Row],[living_area_range]],Lookups!$A$48:$C$57,3,FALSE),1)</f>
        <v>0.97960506760539345</v>
      </c>
      <c r="BV552" s="4">
        <f>AVERAGE(Granger_Inventory[[#This Row],[qual_adj]:[living_range_adj]])</f>
        <v>0.9847717200073256</v>
      </c>
      <c r="BW552" s="8">
        <f>(Granger_Inventory[[#This Row],[sum_land]]-IF(Granger_Inventory[[#This Row],[no_utilities]]=1,12000,0))/IF(Granger_Inventory[[#This Row],[unbuildable]]=1,2,1)</f>
        <v>21427.618862498482</v>
      </c>
      <c r="BX552" s="8">
        <f>Granger_Inventory[[#This Row],[pre_res]]*Granger_Inventory[[#This Row],[overall_adj]]</f>
        <v>165230.82394408082</v>
      </c>
      <c r="BY55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552">
        <f>ROUND(Granger_Inventory[[#This Row],[detatched_value]]*Lookups!$I$45,-2)</f>
        <v>1600</v>
      </c>
      <c r="CA552">
        <f>IF(ROUND(Granger_Inventory[[#This Row],[adj_res]]*Lookups!$I$45,-2)&lt;Granger_Inventory[[#This Row],[min_res]],Granger_Inventory[[#This Row],[min_res]],ROUND(Granger_Inventory[[#This Row],[adj_res]]*Lookups!$I$45,-2))</f>
        <v>157000</v>
      </c>
      <c r="CB552">
        <f>Granger_Inventory[[#This Row],[final_det]]+Granger_Inventory[[#This Row],[final_res]]</f>
        <v>158600</v>
      </c>
      <c r="CC552">
        <f>Granger_Inventory[[#This Row],[final_land]]+Granger_Inventory[[#This Row],[final_imp]]+Granger_Inventory[[#This Row],[crop_value]]</f>
        <v>179000</v>
      </c>
      <c r="CE552" t="str">
        <f t="shared" si="8"/>
        <v>update valuation set market_land =20400, market_bldg=158600, market_total =179000, market_mdno =402, market_date ='9/10/2023' where link_id = (select link_id from parcel where parcel_year = '2024' and parcel_id = '21102141488');</v>
      </c>
    </row>
    <row r="553" spans="1:83" x14ac:dyDescent="0.25">
      <c r="A553">
        <v>21102141489</v>
      </c>
      <c r="B553">
        <v>1.99</v>
      </c>
      <c r="C553">
        <v>86739</v>
      </c>
      <c r="D553" t="s">
        <v>137</v>
      </c>
      <c r="E553" t="s">
        <v>54</v>
      </c>
      <c r="F553" t="s">
        <v>54</v>
      </c>
      <c r="G553">
        <v>3</v>
      </c>
      <c r="H553" t="s">
        <v>55</v>
      </c>
      <c r="I553">
        <v>157200</v>
      </c>
      <c r="J553">
        <v>39000</v>
      </c>
      <c r="K553">
        <v>1.99</v>
      </c>
      <c r="L553">
        <f>IF(Granger_Inventory[[#This Row],[parcel_acres]]-Granger_Inventory[[#This Row],[non_valued_acres]] =0,0,LN(Granger_Inventory[[#This Row],[parcel_acres]]-Granger_Inventory[[#This Row],[non_valued_acres]]))</f>
        <v>0.68813463873640102</v>
      </c>
      <c r="M553">
        <v>0</v>
      </c>
      <c r="N553">
        <v>0</v>
      </c>
      <c r="O553">
        <v>0</v>
      </c>
      <c r="P553">
        <v>47108.068500000001</v>
      </c>
      <c r="Q553">
        <v>122298</v>
      </c>
      <c r="R553">
        <f>(Granger_Inventory[[#This Row],[ln_acres]]*Granger_Inventory[[#This Row],[coeff]])+Granger_Inventory[[#This Row],[const]]</f>
        <v>154714.69369881714</v>
      </c>
      <c r="S553" t="s">
        <v>62</v>
      </c>
      <c r="T553">
        <v>2</v>
      </c>
      <c r="U553" t="s">
        <v>71</v>
      </c>
      <c r="V553" t="s">
        <v>77</v>
      </c>
      <c r="W553">
        <v>0</v>
      </c>
      <c r="X553">
        <v>0</v>
      </c>
      <c r="Y553">
        <v>51</v>
      </c>
      <c r="Z553">
        <v>83</v>
      </c>
      <c r="AA553">
        <v>90</v>
      </c>
      <c r="AB553">
        <v>2000</v>
      </c>
      <c r="AC553">
        <v>1715</v>
      </c>
      <c r="AD553">
        <v>1222</v>
      </c>
      <c r="AE553">
        <v>493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592</v>
      </c>
      <c r="AN553">
        <v>96</v>
      </c>
      <c r="AO553">
        <v>0</v>
      </c>
      <c r="AP553">
        <v>8</v>
      </c>
      <c r="AQ553">
        <v>0</v>
      </c>
      <c r="AR553">
        <v>1</v>
      </c>
      <c r="AS553" t="s">
        <v>81</v>
      </c>
      <c r="AT553">
        <v>1</v>
      </c>
      <c r="AU553" t="s">
        <v>68</v>
      </c>
      <c r="AV553" t="s">
        <v>65</v>
      </c>
      <c r="AW553">
        <v>0</v>
      </c>
      <c r="AX553">
        <v>3</v>
      </c>
      <c r="AY553">
        <v>0</v>
      </c>
      <c r="AZ553">
        <v>0</v>
      </c>
      <c r="BA553">
        <v>100</v>
      </c>
      <c r="BB553">
        <v>100</v>
      </c>
      <c r="BC553">
        <v>100</v>
      </c>
      <c r="BD553">
        <v>100</v>
      </c>
      <c r="BE553">
        <v>1</v>
      </c>
      <c r="BF553">
        <v>15000</v>
      </c>
      <c r="BG553">
        <v>1000</v>
      </c>
      <c r="BH553" s="8">
        <f>Granger_Inventory[[#This Row],[land_extract]]*Lookups!$B$3</f>
        <v>92168.308248951289</v>
      </c>
      <c r="BI553" s="8">
        <f>IF(Granger_Inventory[[#This Row],[bldg_style]]="",0,Lookups!$B$2)</f>
        <v>29703.559000000001</v>
      </c>
      <c r="BJ553" s="8">
        <f>_xlfn.IFNA(VLOOKUP(Granger_Inventory[[#This Row],[quality]],Lookups!$H$2:$J$14,3,FALSE),0)</f>
        <v>34195</v>
      </c>
      <c r="BK553" s="8">
        <f>_xlfn.IFNA(VLOOKUP(Granger_Inventory[[#This Row],[condition]],Lookups!$H$17:$J$24,3,FALSE),0)</f>
        <v>33736</v>
      </c>
      <c r="BL553" s="8">
        <f>Granger_Inventory[[#This Row],[Age]]*Lookups!$B$16</f>
        <v>-17208.481299999999</v>
      </c>
      <c r="BM553" s="8">
        <f>Granger_Inventory[[#This Row],[living_area]]*Lookups!$B$17</f>
        <v>115373.038935</v>
      </c>
      <c r="BN553" s="8">
        <f>(Granger_Inventory[[#This Row],[att_gar]]+Granger_Inventory[[#This Row],[blt_gar]])*Lookups!$B$18</f>
        <v>0</v>
      </c>
      <c r="BO553" s="8">
        <f>Granger_Inventory[[#This Row],[Patio]]*Lookups!$B$19</f>
        <v>32154.536831999998</v>
      </c>
      <c r="BP553" s="8">
        <f>SUM(Granger_Inventory[[#This Row],[Intercept]:[Patio_Value]])*Granger_Inventory[[#This Row],[res_pct]]</f>
        <v>227953.653467</v>
      </c>
      <c r="BQ553" s="8">
        <f>Granger_Inventory[[#This Row],[land_value]]</f>
        <v>92168.308248951289</v>
      </c>
      <c r="BR553" s="4">
        <f>_xlfn.IFNA(VLOOKUP(Granger_Inventory[[#This Row],[quality]],Lookups!$A$25:$C$35,3,FALSE),1)</f>
        <v>0.98258795897788032</v>
      </c>
      <c r="BS553" s="4">
        <f>_xlfn.IFNA(VLOOKUP(Granger_Inventory[[#This Row],[condition]],Lookups!$A$38:$C$45,3,FALSE),1)</f>
        <v>0.92294678898076177</v>
      </c>
      <c r="BT553" s="4">
        <f>IF(Granger_Inventory[[#This Row],[decade]]="",1,_xlfn.IFNA(VLOOKUP(Granger_Inventory[[#This Row],[decade]],Lookups!$G$28:$I$42,3,FALSE),1))</f>
        <v>0.95234610137492615</v>
      </c>
      <c r="BU553" s="4">
        <f>_xlfn.IFNA(VLOOKUP(Granger_Inventory[[#This Row],[living_area_range]],Lookups!$A$48:$C$57,3,FALSE),1)</f>
        <v>0.97860968051050168</v>
      </c>
      <c r="BV553" s="4">
        <f>AVERAGE(Granger_Inventory[[#This Row],[qual_adj]:[living_range_adj]])</f>
        <v>0.95912263246101748</v>
      </c>
      <c r="BW553" s="8">
        <f>(Granger_Inventory[[#This Row],[sum_land]]-IF(Granger_Inventory[[#This Row],[no_utilities]]=1,12000,0))/IF(Granger_Inventory[[#This Row],[unbuildable]]=1,2,1)</f>
        <v>92168.308248951289</v>
      </c>
      <c r="BX553" s="8">
        <f>Granger_Inventory[[#This Row],[pre_res]]*Granger_Inventory[[#This Row],[overall_adj]]</f>
        <v>218635.50819237559</v>
      </c>
      <c r="BY553">
        <f>IF(ROUND(Granger_Inventory[[#This Row],[adj_land]]*Lookups!$I$45,-2)&lt;Granger_Inventory[[#This Row],[min_land]],Granger_Inventory[[#This Row],[min_land]],ROUND(Granger_Inventory[[#This Row],[adj_land]]*Lookups!$I$45,-2))</f>
        <v>87600</v>
      </c>
      <c r="BZ553">
        <f>ROUND(Granger_Inventory[[#This Row],[detatched_value]]*Lookups!$I$45,-2)</f>
        <v>0</v>
      </c>
      <c r="CA553">
        <f>IF(ROUND(Granger_Inventory[[#This Row],[adj_res]]*Lookups!$I$45,-2)&lt;Granger_Inventory[[#This Row],[min_res]],Granger_Inventory[[#This Row],[min_res]],ROUND(Granger_Inventory[[#This Row],[adj_res]]*Lookups!$I$45,-2))</f>
        <v>207700</v>
      </c>
      <c r="CB553">
        <f>Granger_Inventory[[#This Row],[final_det]]+Granger_Inventory[[#This Row],[final_res]]</f>
        <v>207700</v>
      </c>
      <c r="CC553">
        <f>Granger_Inventory[[#This Row],[final_land]]+Granger_Inventory[[#This Row],[final_imp]]+Granger_Inventory[[#This Row],[crop_value]]</f>
        <v>295300</v>
      </c>
      <c r="CE553" t="str">
        <f t="shared" si="8"/>
        <v>update valuation set market_land =87600, market_bldg=207700, market_total =295300, market_mdno =402, market_date ='9/10/2023' where link_id = (select link_id from parcel where parcel_year = '2024' and parcel_id = '21102141489');</v>
      </c>
    </row>
    <row r="554" spans="1:83" x14ac:dyDescent="0.25">
      <c r="A554">
        <v>21102141490</v>
      </c>
      <c r="B554">
        <v>0.24</v>
      </c>
      <c r="C554">
        <v>10500</v>
      </c>
      <c r="D554" t="s">
        <v>137</v>
      </c>
      <c r="E554" t="s">
        <v>54</v>
      </c>
      <c r="F554" t="s">
        <v>54</v>
      </c>
      <c r="G554">
        <v>3</v>
      </c>
      <c r="H554" t="s">
        <v>55</v>
      </c>
      <c r="I554">
        <v>0</v>
      </c>
      <c r="J554">
        <v>27200</v>
      </c>
      <c r="K554">
        <v>0.24</v>
      </c>
      <c r="L554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54">
        <v>0</v>
      </c>
      <c r="N554">
        <v>0</v>
      </c>
      <c r="O554">
        <v>0</v>
      </c>
      <c r="P554">
        <v>47108.068500000001</v>
      </c>
      <c r="Q554">
        <v>122298</v>
      </c>
      <c r="R554">
        <f>(Granger_Inventory[[#This Row],[ln_acres]]*Granger_Inventory[[#This Row],[coeff]])+Granger_Inventory[[#This Row],[const]]</f>
        <v>55069.304961033646</v>
      </c>
      <c r="S554" t="s">
        <v>147</v>
      </c>
      <c r="T554">
        <v>1</v>
      </c>
      <c r="U554" t="s">
        <v>107</v>
      </c>
      <c r="V554" t="s">
        <v>82</v>
      </c>
      <c r="W554">
        <v>0</v>
      </c>
      <c r="X554">
        <v>0</v>
      </c>
      <c r="Y554">
        <v>93</v>
      </c>
      <c r="Z554">
        <v>93</v>
      </c>
      <c r="AA554">
        <v>100</v>
      </c>
      <c r="AB554">
        <v>1000</v>
      </c>
      <c r="AC554">
        <v>532</v>
      </c>
      <c r="AD554">
        <v>532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9</v>
      </c>
      <c r="AO554">
        <v>0</v>
      </c>
      <c r="AP554">
        <v>4</v>
      </c>
      <c r="AQ554">
        <v>0</v>
      </c>
      <c r="AR554">
        <v>0</v>
      </c>
      <c r="AS554" t="s">
        <v>148</v>
      </c>
      <c r="AT554">
        <v>0</v>
      </c>
      <c r="AU554" t="s">
        <v>83</v>
      </c>
      <c r="AV554" t="s">
        <v>61</v>
      </c>
      <c r="AW554">
        <v>0</v>
      </c>
      <c r="AX554">
        <v>1</v>
      </c>
      <c r="AY554">
        <v>0</v>
      </c>
      <c r="AZ554">
        <v>0</v>
      </c>
      <c r="BA554">
        <v>100</v>
      </c>
      <c r="BB554">
        <v>100</v>
      </c>
      <c r="BC554">
        <v>100</v>
      </c>
      <c r="BD554">
        <v>100</v>
      </c>
      <c r="BE554">
        <v>1</v>
      </c>
      <c r="BF554">
        <v>15000</v>
      </c>
      <c r="BG554">
        <v>1000</v>
      </c>
      <c r="BH554" s="8">
        <f>Granger_Inventory[[#This Row],[land_extract]]*Lookups!$B$3</f>
        <v>32806.481099880541</v>
      </c>
      <c r="BI554" s="8">
        <f>IF(Granger_Inventory[[#This Row],[bldg_style]]="",0,Lookups!$B$2)</f>
        <v>29703.559000000001</v>
      </c>
      <c r="BJ554" s="8">
        <f>_xlfn.IFNA(VLOOKUP(Granger_Inventory[[#This Row],[quality]],Lookups!$H$2:$J$14,3,FALSE),0)</f>
        <v>13627.20468015931</v>
      </c>
      <c r="BK554" s="8">
        <f>_xlfn.IFNA(VLOOKUP(Granger_Inventory[[#This Row],[condition]],Lookups!$H$17:$J$24,3,FALSE),0)</f>
        <v>27308</v>
      </c>
      <c r="BL554" s="8">
        <f>Granger_Inventory[[#This Row],[Age]]*Lookups!$B$16</f>
        <v>-19281.792300000001</v>
      </c>
      <c r="BM554" s="8">
        <f>Granger_Inventory[[#This Row],[living_area]]*Lookups!$B$17</f>
        <v>35789.187588000001</v>
      </c>
      <c r="BN554" s="8">
        <f>(Granger_Inventory[[#This Row],[att_gar]]+Granger_Inventory[[#This Row],[blt_gar]])*Lookups!$B$18</f>
        <v>0</v>
      </c>
      <c r="BO554" s="8">
        <f>Granger_Inventory[[#This Row],[Patio]]*Lookups!$B$19</f>
        <v>0</v>
      </c>
      <c r="BP554" s="8">
        <f>SUM(Granger_Inventory[[#This Row],[Intercept]:[Patio_Value]])*Granger_Inventory[[#This Row],[res_pct]]</f>
        <v>87146.158968159318</v>
      </c>
      <c r="BQ554" s="8">
        <f>Granger_Inventory[[#This Row],[land_value]]</f>
        <v>32806.481099880541</v>
      </c>
      <c r="BR554" s="4">
        <f>_xlfn.IFNA(VLOOKUP(Granger_Inventory[[#This Row],[quality]],Lookups!$A$25:$C$35,3,FALSE),1)</f>
        <v>0.77695375541795109</v>
      </c>
      <c r="BS554" s="4">
        <f>_xlfn.IFNA(VLOOKUP(Granger_Inventory[[#This Row],[condition]],Lookups!$A$38:$C$45,3,FALSE),1)</f>
        <v>0.59507759803100935</v>
      </c>
      <c r="BT554" s="4">
        <f>IF(Granger_Inventory[[#This Row],[decade]]="",1,_xlfn.IFNA(VLOOKUP(Granger_Inventory[[#This Row],[decade]],Lookups!$G$28:$I$42,3,FALSE),1))</f>
        <v>0.879441629375324</v>
      </c>
      <c r="BU554" s="4">
        <f>_xlfn.IFNA(VLOOKUP(Granger_Inventory[[#This Row],[living_area_range]],Lookups!$A$48:$C$57,3,FALSE),1)</f>
        <v>0.81272404900450645</v>
      </c>
      <c r="BV554" s="4">
        <f>AVERAGE(Granger_Inventory[[#This Row],[qual_adj]:[living_range_adj]])</f>
        <v>0.7660492579571978</v>
      </c>
      <c r="BW554" s="8">
        <f>(Granger_Inventory[[#This Row],[sum_land]]-IF(Granger_Inventory[[#This Row],[no_utilities]]=1,12000,0))/IF(Granger_Inventory[[#This Row],[unbuildable]]=1,2,1)</f>
        <v>32806.481099880541</v>
      </c>
      <c r="BX554" s="8">
        <f>Granger_Inventory[[#This Row],[pre_res]]*Granger_Inventory[[#This Row],[overall_adj]]</f>
        <v>66758.250411378438</v>
      </c>
      <c r="BY554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54">
        <f>ROUND(Granger_Inventory[[#This Row],[detatched_value]]*Lookups!$I$45,-2)</f>
        <v>0</v>
      </c>
      <c r="CA554">
        <f>IF(ROUND(Granger_Inventory[[#This Row],[adj_res]]*Lookups!$I$45,-2)&lt;Granger_Inventory[[#This Row],[min_res]],Granger_Inventory[[#This Row],[min_res]],ROUND(Granger_Inventory[[#This Row],[adj_res]]*Lookups!$I$45,-2))</f>
        <v>63400</v>
      </c>
      <c r="CB554">
        <f>Granger_Inventory[[#This Row],[final_det]]+Granger_Inventory[[#This Row],[final_res]]</f>
        <v>63400</v>
      </c>
      <c r="CC554">
        <f>Granger_Inventory[[#This Row],[final_land]]+Granger_Inventory[[#This Row],[final_imp]]+Granger_Inventory[[#This Row],[crop_value]]</f>
        <v>94600</v>
      </c>
      <c r="CE554" t="str">
        <f t="shared" si="8"/>
        <v>update valuation set market_land =31200, market_bldg=63400, market_total =94600, market_mdno =402, market_date ='9/10/2023' where link_id = (select link_id from parcel where parcel_year = '2024' and parcel_id = '21102141490');</v>
      </c>
    </row>
    <row r="555" spans="1:83" x14ac:dyDescent="0.25">
      <c r="A555">
        <v>21102141499</v>
      </c>
      <c r="B555">
        <v>0.35</v>
      </c>
      <c r="C555">
        <v>15320</v>
      </c>
      <c r="D555" t="s">
        <v>137</v>
      </c>
      <c r="E555" t="s">
        <v>54</v>
      </c>
      <c r="F555" t="s">
        <v>54</v>
      </c>
      <c r="G555">
        <v>3</v>
      </c>
      <c r="H555" t="s">
        <v>55</v>
      </c>
      <c r="I555">
        <v>42700</v>
      </c>
      <c r="J555">
        <v>29300</v>
      </c>
      <c r="K555">
        <v>0.35</v>
      </c>
      <c r="L555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555">
        <v>0</v>
      </c>
      <c r="N555">
        <v>0</v>
      </c>
      <c r="O555">
        <v>0</v>
      </c>
      <c r="P555">
        <v>47108.068500000001</v>
      </c>
      <c r="Q555">
        <v>122298</v>
      </c>
      <c r="R555">
        <f>(Granger_Inventory[[#This Row],[ln_acres]]*Granger_Inventory[[#This Row],[coeff]])+Granger_Inventory[[#This Row],[const]]</f>
        <v>72842.907446300756</v>
      </c>
      <c r="S555" t="s">
        <v>69</v>
      </c>
      <c r="T555">
        <v>1</v>
      </c>
      <c r="U555" t="s">
        <v>78</v>
      </c>
      <c r="V555" t="s">
        <v>79</v>
      </c>
      <c r="W555">
        <v>0</v>
      </c>
      <c r="X555">
        <v>0</v>
      </c>
      <c r="Y555">
        <v>51</v>
      </c>
      <c r="Z555">
        <v>83</v>
      </c>
      <c r="AA555">
        <v>90</v>
      </c>
      <c r="AB555">
        <v>1000</v>
      </c>
      <c r="AC555">
        <v>804</v>
      </c>
      <c r="AD555">
        <v>804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5</v>
      </c>
      <c r="AQ555">
        <v>0</v>
      </c>
      <c r="AR555">
        <v>0</v>
      </c>
      <c r="AS555" t="s">
        <v>59</v>
      </c>
      <c r="AT555">
        <v>1</v>
      </c>
      <c r="AU555" t="s">
        <v>76</v>
      </c>
      <c r="AV555" t="s">
        <v>61</v>
      </c>
      <c r="AW555">
        <v>0</v>
      </c>
      <c r="AX555">
        <v>2</v>
      </c>
      <c r="AY555">
        <v>0</v>
      </c>
      <c r="AZ555">
        <v>6200</v>
      </c>
      <c r="BA555">
        <v>100</v>
      </c>
      <c r="BB555">
        <v>100</v>
      </c>
      <c r="BC555">
        <v>100</v>
      </c>
      <c r="BD555">
        <v>100</v>
      </c>
      <c r="BE555">
        <v>1</v>
      </c>
      <c r="BF555">
        <v>15000</v>
      </c>
      <c r="BG555">
        <v>1000</v>
      </c>
      <c r="BH555" s="8">
        <f>Granger_Inventory[[#This Row],[land_extract]]*Lookups!$B$3</f>
        <v>43394.763527310708</v>
      </c>
      <c r="BI555" s="8">
        <f>IF(Granger_Inventory[[#This Row],[bldg_style]]="",0,Lookups!$B$2)</f>
        <v>29703.559000000001</v>
      </c>
      <c r="BJ555" s="8">
        <f>_xlfn.IFNA(VLOOKUP(Granger_Inventory[[#This Row],[quality]],Lookups!$H$2:$J$14,3,FALSE),0)</f>
        <v>23737.786340274597</v>
      </c>
      <c r="BK555" s="8">
        <f>_xlfn.IFNA(VLOOKUP(Granger_Inventory[[#This Row],[condition]],Lookups!$H$17:$J$24,3,FALSE),0)</f>
        <v>86727</v>
      </c>
      <c r="BL555" s="8">
        <f>Granger_Inventory[[#This Row],[Age]]*Lookups!$B$16</f>
        <v>-17208.481299999999</v>
      </c>
      <c r="BM555" s="8">
        <f>Granger_Inventory[[#This Row],[living_area]]*Lookups!$B$17</f>
        <v>54087.418835999997</v>
      </c>
      <c r="BN555" s="8">
        <f>(Granger_Inventory[[#This Row],[att_gar]]+Granger_Inventory[[#This Row],[blt_gar]])*Lookups!$B$18</f>
        <v>0</v>
      </c>
      <c r="BO555" s="8">
        <f>Granger_Inventory[[#This Row],[Patio]]*Lookups!$B$19</f>
        <v>0</v>
      </c>
      <c r="BP555" s="8">
        <f>SUM(Granger_Inventory[[#This Row],[Intercept]:[Patio_Value]])*Granger_Inventory[[#This Row],[res_pct]]</f>
        <v>177047.28287627461</v>
      </c>
      <c r="BQ555" s="8">
        <f>Granger_Inventory[[#This Row],[land_value]]</f>
        <v>43394.763527310708</v>
      </c>
      <c r="BR555" s="4">
        <f>_xlfn.IFNA(VLOOKUP(Granger_Inventory[[#This Row],[quality]],Lookups!$A$25:$C$35,3,FALSE),1)</f>
        <v>0.77695375541795109</v>
      </c>
      <c r="BS555" s="4">
        <f>_xlfn.IFNA(VLOOKUP(Granger_Inventory[[#This Row],[condition]],Lookups!$A$38:$C$45,3,FALSE),1)</f>
        <v>0.85322907131620684</v>
      </c>
      <c r="BT555" s="4">
        <f>IF(Granger_Inventory[[#This Row],[decade]]="",1,_xlfn.IFNA(VLOOKUP(Granger_Inventory[[#This Row],[decade]],Lookups!$G$28:$I$42,3,FALSE),1))</f>
        <v>0.95234610137492615</v>
      </c>
      <c r="BU555" s="4">
        <f>_xlfn.IFNA(VLOOKUP(Granger_Inventory[[#This Row],[living_area_range]],Lookups!$A$48:$C$57,3,FALSE),1)</f>
        <v>0.81272404900450645</v>
      </c>
      <c r="BV555" s="4">
        <f>AVERAGE(Granger_Inventory[[#This Row],[qual_adj]:[living_range_adj]])</f>
        <v>0.84881324427839766</v>
      </c>
      <c r="BW555" s="8">
        <f>(Granger_Inventory[[#This Row],[sum_land]]-IF(Granger_Inventory[[#This Row],[no_utilities]]=1,12000,0))/IF(Granger_Inventory[[#This Row],[unbuildable]]=1,2,1)</f>
        <v>43394.763527310708</v>
      </c>
      <c r="BX555" s="8">
        <f>Granger_Inventory[[#This Row],[pre_res]]*Granger_Inventory[[#This Row],[overall_adj]]</f>
        <v>150280.07856888586</v>
      </c>
      <c r="BY555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555">
        <f>ROUND(Granger_Inventory[[#This Row],[detatched_value]]*Lookups!$I$45,-2)</f>
        <v>5900</v>
      </c>
      <c r="CA555">
        <f>IF(ROUND(Granger_Inventory[[#This Row],[adj_res]]*Lookups!$I$45,-2)&lt;Granger_Inventory[[#This Row],[min_res]],Granger_Inventory[[#This Row],[min_res]],ROUND(Granger_Inventory[[#This Row],[adj_res]]*Lookups!$I$45,-2))</f>
        <v>142800</v>
      </c>
      <c r="CB555">
        <f>Granger_Inventory[[#This Row],[final_det]]+Granger_Inventory[[#This Row],[final_res]]</f>
        <v>148700</v>
      </c>
      <c r="CC555">
        <f>Granger_Inventory[[#This Row],[final_land]]+Granger_Inventory[[#This Row],[final_imp]]+Granger_Inventory[[#This Row],[crop_value]]</f>
        <v>189900</v>
      </c>
      <c r="CE555" t="str">
        <f t="shared" si="8"/>
        <v>update valuation set market_land =41200, market_bldg=148700, market_total =189900, market_mdno =402, market_date ='9/10/2023' where link_id = (select link_id from parcel where parcel_year = '2024' and parcel_id = '21102141499');</v>
      </c>
    </row>
    <row r="556" spans="1:83" x14ac:dyDescent="0.25">
      <c r="A556">
        <v>21102142406</v>
      </c>
      <c r="B556">
        <v>0.28999999999999998</v>
      </c>
      <c r="C556">
        <v>12825</v>
      </c>
      <c r="D556" t="s">
        <v>137</v>
      </c>
      <c r="E556" t="s">
        <v>54</v>
      </c>
      <c r="F556" t="s">
        <v>54</v>
      </c>
      <c r="G556">
        <v>3</v>
      </c>
      <c r="H556" t="s">
        <v>55</v>
      </c>
      <c r="I556">
        <v>68900</v>
      </c>
      <c r="J556">
        <v>28300</v>
      </c>
      <c r="K556">
        <v>0.28999999999999998</v>
      </c>
      <c r="L556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556">
        <v>0</v>
      </c>
      <c r="N556">
        <v>0</v>
      </c>
      <c r="O556">
        <v>0</v>
      </c>
      <c r="P556">
        <v>47108.068500000001</v>
      </c>
      <c r="Q556">
        <v>122298</v>
      </c>
      <c r="R556">
        <f>(Granger_Inventory[[#This Row],[ln_acres]]*Granger_Inventory[[#This Row],[coeff]])+Granger_Inventory[[#This Row],[const]]</f>
        <v>63984.130043082419</v>
      </c>
      <c r="S556" t="s">
        <v>69</v>
      </c>
      <c r="T556">
        <v>1</v>
      </c>
      <c r="U556" t="s">
        <v>71</v>
      </c>
      <c r="V556" t="s">
        <v>77</v>
      </c>
      <c r="W556">
        <v>0</v>
      </c>
      <c r="X556">
        <v>0</v>
      </c>
      <c r="Y556">
        <v>50</v>
      </c>
      <c r="Z556">
        <v>70</v>
      </c>
      <c r="AA556">
        <v>70</v>
      </c>
      <c r="AB556">
        <v>1000</v>
      </c>
      <c r="AC556">
        <v>870</v>
      </c>
      <c r="AD556">
        <v>870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600</v>
      </c>
      <c r="AN556">
        <v>60</v>
      </c>
      <c r="AO556">
        <v>600</v>
      </c>
      <c r="AP556">
        <v>5</v>
      </c>
      <c r="AQ556">
        <v>0</v>
      </c>
      <c r="AR556">
        <v>1</v>
      </c>
      <c r="AS556" t="s">
        <v>59</v>
      </c>
      <c r="AT556">
        <v>0</v>
      </c>
      <c r="AU556" t="s">
        <v>83</v>
      </c>
      <c r="AV556" t="s">
        <v>65</v>
      </c>
      <c r="AW556">
        <v>0</v>
      </c>
      <c r="AX556">
        <v>2</v>
      </c>
      <c r="AY556">
        <v>0</v>
      </c>
      <c r="AZ556">
        <v>0</v>
      </c>
      <c r="BA556">
        <v>100</v>
      </c>
      <c r="BB556">
        <v>100</v>
      </c>
      <c r="BC556">
        <v>100</v>
      </c>
      <c r="BD556">
        <v>100</v>
      </c>
      <c r="BE556">
        <v>1</v>
      </c>
      <c r="BF556">
        <v>15000</v>
      </c>
      <c r="BG556">
        <v>1000</v>
      </c>
      <c r="BH556" s="8">
        <f>Granger_Inventory[[#This Row],[land_extract]]*Lookups!$B$3</f>
        <v>38117.316977869523</v>
      </c>
      <c r="BI556" s="8">
        <f>IF(Granger_Inventory[[#This Row],[bldg_style]]="",0,Lookups!$B$2)</f>
        <v>29703.559000000001</v>
      </c>
      <c r="BJ556" s="8">
        <f>_xlfn.IFNA(VLOOKUP(Granger_Inventory[[#This Row],[quality]],Lookups!$H$2:$J$14,3,FALSE),0)</f>
        <v>34195</v>
      </c>
      <c r="BK556" s="8">
        <f>_xlfn.IFNA(VLOOKUP(Granger_Inventory[[#This Row],[condition]],Lookups!$H$17:$J$24,3,FALSE),0)</f>
        <v>33736</v>
      </c>
      <c r="BL556" s="8">
        <f>Granger_Inventory[[#This Row],[Age]]*Lookups!$B$16</f>
        <v>-14513.177</v>
      </c>
      <c r="BM556" s="8">
        <f>Granger_Inventory[[#This Row],[living_area]]*Lookups!$B$17</f>
        <v>58527.430829999998</v>
      </c>
      <c r="BN556" s="8">
        <f>(Granger_Inventory[[#This Row],[att_gar]]+Granger_Inventory[[#This Row],[blt_gar]])*Lookups!$B$18</f>
        <v>0</v>
      </c>
      <c r="BO556" s="8">
        <f>Granger_Inventory[[#This Row],[Patio]]*Lookups!$B$19</f>
        <v>32589.057599999996</v>
      </c>
      <c r="BP556" s="8">
        <f>SUM(Granger_Inventory[[#This Row],[Intercept]:[Patio_Value]])*Granger_Inventory[[#This Row],[res_pct]]</f>
        <v>174237.87043000001</v>
      </c>
      <c r="BQ556" s="8">
        <f>Granger_Inventory[[#This Row],[land_value]]</f>
        <v>38117.316977869523</v>
      </c>
      <c r="BR556" s="4">
        <f>_xlfn.IFNA(VLOOKUP(Granger_Inventory[[#This Row],[quality]],Lookups!$A$25:$C$35,3,FALSE),1)</f>
        <v>0.98258795897788032</v>
      </c>
      <c r="BS556" s="4">
        <f>_xlfn.IFNA(VLOOKUP(Granger_Inventory[[#This Row],[condition]],Lookups!$A$38:$C$45,3,FALSE),1)</f>
        <v>0.92294678898076177</v>
      </c>
      <c r="BT556" s="4">
        <f>IF(Granger_Inventory[[#This Row],[decade]]="",1,_xlfn.IFNA(VLOOKUP(Granger_Inventory[[#This Row],[decade]],Lookups!$G$28:$I$42,3,FALSE),1))</f>
        <v>1.0270382440255921</v>
      </c>
      <c r="BU556" s="4">
        <f>_xlfn.IFNA(VLOOKUP(Granger_Inventory[[#This Row],[living_area_range]],Lookups!$A$48:$C$57,3,FALSE),1)</f>
        <v>0.81272404900450645</v>
      </c>
      <c r="BV556" s="4">
        <f>AVERAGE(Granger_Inventory[[#This Row],[qual_adj]:[living_range_adj]])</f>
        <v>0.93632426024718507</v>
      </c>
      <c r="BW556" s="8">
        <f>(Granger_Inventory[[#This Row],[sum_land]]-IF(Granger_Inventory[[#This Row],[no_utilities]]=1,12000,0))/IF(Granger_Inventory[[#This Row],[unbuildable]]=1,2,1)</f>
        <v>38117.316977869523</v>
      </c>
      <c r="BX556" s="8">
        <f>Granger_Inventory[[#This Row],[pre_res]]*Granger_Inventory[[#This Row],[overall_adj]]</f>
        <v>163143.14513741463</v>
      </c>
      <c r="BY556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556">
        <f>ROUND(Granger_Inventory[[#This Row],[detatched_value]]*Lookups!$I$45,-2)</f>
        <v>0</v>
      </c>
      <c r="CA556">
        <f>IF(ROUND(Granger_Inventory[[#This Row],[adj_res]]*Lookups!$I$45,-2)&lt;Granger_Inventory[[#This Row],[min_res]],Granger_Inventory[[#This Row],[min_res]],ROUND(Granger_Inventory[[#This Row],[adj_res]]*Lookups!$I$45,-2))</f>
        <v>155000</v>
      </c>
      <c r="CB556">
        <f>Granger_Inventory[[#This Row],[final_det]]+Granger_Inventory[[#This Row],[final_res]]</f>
        <v>155000</v>
      </c>
      <c r="CC556">
        <f>Granger_Inventory[[#This Row],[final_land]]+Granger_Inventory[[#This Row],[final_imp]]+Granger_Inventory[[#This Row],[crop_value]]</f>
        <v>191200</v>
      </c>
      <c r="CE556" t="str">
        <f t="shared" si="8"/>
        <v>update valuation set market_land =36200, market_bldg=155000, market_total =191200, market_mdno =402, market_date ='9/10/2023' where link_id = (select link_id from parcel where parcel_year = '2024' and parcel_id = '21102142406');</v>
      </c>
    </row>
    <row r="557" spans="1:83" x14ac:dyDescent="0.25">
      <c r="A557">
        <v>21102142408</v>
      </c>
      <c r="B557">
        <v>0.7</v>
      </c>
      <c r="C557">
        <v>30500</v>
      </c>
      <c r="D557" t="s">
        <v>137</v>
      </c>
      <c r="E557" t="s">
        <v>54</v>
      </c>
      <c r="F557" t="s">
        <v>54</v>
      </c>
      <c r="G557">
        <v>3</v>
      </c>
      <c r="H557" t="s">
        <v>55</v>
      </c>
      <c r="I557">
        <v>67400</v>
      </c>
      <c r="J557">
        <v>33200</v>
      </c>
      <c r="K557">
        <v>0.7</v>
      </c>
      <c r="L557">
        <f>IF(Granger_Inventory[[#This Row],[parcel_acres]]-Granger_Inventory[[#This Row],[non_valued_acres]] =0,0,LN(Granger_Inventory[[#This Row],[parcel_acres]]-Granger_Inventory[[#This Row],[non_valued_acres]]))</f>
        <v>-0.35667494393873245</v>
      </c>
      <c r="M557">
        <v>0</v>
      </c>
      <c r="N557">
        <v>0</v>
      </c>
      <c r="O557">
        <v>0</v>
      </c>
      <c r="P557">
        <v>47108.068500000001</v>
      </c>
      <c r="Q557">
        <v>122298</v>
      </c>
      <c r="R557">
        <f>(Granger_Inventory[[#This Row],[ln_acres]]*Granger_Inventory[[#This Row],[coeff]])+Granger_Inventory[[#This Row],[const]]</f>
        <v>105495.73230870054</v>
      </c>
      <c r="S557" t="s">
        <v>56</v>
      </c>
      <c r="T557">
        <v>1</v>
      </c>
      <c r="U557" t="s">
        <v>71</v>
      </c>
      <c r="V557" t="s">
        <v>77</v>
      </c>
      <c r="W557">
        <v>0</v>
      </c>
      <c r="X557">
        <v>0</v>
      </c>
      <c r="Y557">
        <v>33</v>
      </c>
      <c r="Z557">
        <v>33</v>
      </c>
      <c r="AA557">
        <v>40</v>
      </c>
      <c r="AB557">
        <v>1000</v>
      </c>
      <c r="AC557">
        <v>888</v>
      </c>
      <c r="AD557">
        <v>888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80</v>
      </c>
      <c r="AM557">
        <v>0</v>
      </c>
      <c r="AN557">
        <v>0</v>
      </c>
      <c r="AO557">
        <v>0</v>
      </c>
      <c r="AP557">
        <v>5</v>
      </c>
      <c r="AQ557">
        <v>0</v>
      </c>
      <c r="AR557">
        <v>0</v>
      </c>
      <c r="AS557" t="s">
        <v>59</v>
      </c>
      <c r="AT557">
        <v>1</v>
      </c>
      <c r="AU557" t="s">
        <v>68</v>
      </c>
      <c r="AV557" t="s">
        <v>65</v>
      </c>
      <c r="AW557">
        <v>0</v>
      </c>
      <c r="AX557">
        <v>2</v>
      </c>
      <c r="AY557">
        <v>0</v>
      </c>
      <c r="AZ557">
        <v>0</v>
      </c>
      <c r="BA557">
        <v>100</v>
      </c>
      <c r="BB557">
        <v>100</v>
      </c>
      <c r="BC557">
        <v>100</v>
      </c>
      <c r="BD557">
        <v>100</v>
      </c>
      <c r="BE557">
        <v>1</v>
      </c>
      <c r="BF557">
        <v>15000</v>
      </c>
      <c r="BG557">
        <v>1000</v>
      </c>
      <c r="BH557" s="8">
        <f>Granger_Inventory[[#This Row],[land_extract]]*Lookups!$B$3</f>
        <v>62847.057004848015</v>
      </c>
      <c r="BI557" s="8">
        <f>IF(Granger_Inventory[[#This Row],[bldg_style]]="",0,Lookups!$B$2)</f>
        <v>29703.559000000001</v>
      </c>
      <c r="BJ557" s="8">
        <f>_xlfn.IFNA(VLOOKUP(Granger_Inventory[[#This Row],[quality]],Lookups!$H$2:$J$14,3,FALSE),0)</f>
        <v>34195</v>
      </c>
      <c r="BK557" s="8">
        <f>_xlfn.IFNA(VLOOKUP(Granger_Inventory[[#This Row],[condition]],Lookups!$H$17:$J$24,3,FALSE),0)</f>
        <v>33736</v>
      </c>
      <c r="BL557" s="8">
        <f>Granger_Inventory[[#This Row],[Age]]*Lookups!$B$16</f>
        <v>-6841.9263000000001</v>
      </c>
      <c r="BM557" s="8">
        <f>Granger_Inventory[[#This Row],[living_area]]*Lookups!$B$17</f>
        <v>59738.343192</v>
      </c>
      <c r="BN557" s="8">
        <f>(Granger_Inventory[[#This Row],[att_gar]]+Granger_Inventory[[#This Row],[blt_gar]])*Lookups!$B$18</f>
        <v>0</v>
      </c>
      <c r="BO557" s="8">
        <f>Granger_Inventory[[#This Row],[Patio]]*Lookups!$B$19</f>
        <v>0</v>
      </c>
      <c r="BP557" s="8">
        <f>SUM(Granger_Inventory[[#This Row],[Intercept]:[Patio_Value]])*Granger_Inventory[[#This Row],[res_pct]]</f>
        <v>150530.97589200002</v>
      </c>
      <c r="BQ557" s="8">
        <f>Granger_Inventory[[#This Row],[land_value]]</f>
        <v>62847.057004848015</v>
      </c>
      <c r="BR557" s="4">
        <f>_xlfn.IFNA(VLOOKUP(Granger_Inventory[[#This Row],[quality]],Lookups!$A$25:$C$35,3,FALSE),1)</f>
        <v>0.98258795897788032</v>
      </c>
      <c r="BS557" s="4">
        <f>_xlfn.IFNA(VLOOKUP(Granger_Inventory[[#This Row],[condition]],Lookups!$A$38:$C$45,3,FALSE),1)</f>
        <v>0.92294678898076177</v>
      </c>
      <c r="BT557" s="4">
        <f>IF(Granger_Inventory[[#This Row],[decade]]="",1,_xlfn.IFNA(VLOOKUP(Granger_Inventory[[#This Row],[decade]],Lookups!$G$28:$I$42,3,FALSE),1))</f>
        <v>0.98127609555109363</v>
      </c>
      <c r="BU557" s="4">
        <f>_xlfn.IFNA(VLOOKUP(Granger_Inventory[[#This Row],[living_area_range]],Lookups!$A$48:$C$57,3,FALSE),1)</f>
        <v>0.81272404900450645</v>
      </c>
      <c r="BV557" s="4">
        <f>AVERAGE(Granger_Inventory[[#This Row],[qual_adj]:[living_range_adj]])</f>
        <v>0.92488372312856049</v>
      </c>
      <c r="BW557" s="8">
        <f>(Granger_Inventory[[#This Row],[sum_land]]-IF(Granger_Inventory[[#This Row],[no_utilities]]=1,12000,0))/IF(Granger_Inventory[[#This Row],[unbuildable]]=1,2,1)</f>
        <v>62847.057004848015</v>
      </c>
      <c r="BX557" s="8">
        <f>Granger_Inventory[[#This Row],[pre_res]]*Granger_Inventory[[#This Row],[overall_adj]]</f>
        <v>139223.64942916855</v>
      </c>
      <c r="BY557">
        <f>IF(ROUND(Granger_Inventory[[#This Row],[adj_land]]*Lookups!$I$45,-2)&lt;Granger_Inventory[[#This Row],[min_land]],Granger_Inventory[[#This Row],[min_land]],ROUND(Granger_Inventory[[#This Row],[adj_land]]*Lookups!$I$45,-2))</f>
        <v>59700</v>
      </c>
      <c r="BZ557">
        <f>ROUND(Granger_Inventory[[#This Row],[detatched_value]]*Lookups!$I$45,-2)</f>
        <v>0</v>
      </c>
      <c r="CA557">
        <f>IF(ROUND(Granger_Inventory[[#This Row],[adj_res]]*Lookups!$I$45,-2)&lt;Granger_Inventory[[#This Row],[min_res]],Granger_Inventory[[#This Row],[min_res]],ROUND(Granger_Inventory[[#This Row],[adj_res]]*Lookups!$I$45,-2))</f>
        <v>132300</v>
      </c>
      <c r="CB557">
        <f>Granger_Inventory[[#This Row],[final_det]]+Granger_Inventory[[#This Row],[final_res]]</f>
        <v>132300</v>
      </c>
      <c r="CC557">
        <f>Granger_Inventory[[#This Row],[final_land]]+Granger_Inventory[[#This Row],[final_imp]]+Granger_Inventory[[#This Row],[crop_value]]</f>
        <v>192000</v>
      </c>
      <c r="CE557" t="str">
        <f t="shared" si="8"/>
        <v>update valuation set market_land =59700, market_bldg=132300, market_total =192000, market_mdno =402, market_date ='9/10/2023' where link_id = (select link_id from parcel where parcel_year = '2024' and parcel_id = '21102142408');</v>
      </c>
    </row>
    <row r="558" spans="1:83" x14ac:dyDescent="0.25">
      <c r="A558">
        <v>21102142413</v>
      </c>
      <c r="B558">
        <v>9.0399999999999991</v>
      </c>
      <c r="C558">
        <v>393782</v>
      </c>
      <c r="D558" t="s">
        <v>137</v>
      </c>
      <c r="E558" t="s">
        <v>54</v>
      </c>
      <c r="F558" t="s">
        <v>54</v>
      </c>
      <c r="G558">
        <v>3</v>
      </c>
      <c r="H558" t="s">
        <v>55</v>
      </c>
      <c r="I558">
        <v>94500</v>
      </c>
      <c r="J558">
        <v>47400</v>
      </c>
      <c r="K558">
        <v>9.0399999999999991</v>
      </c>
      <c r="L558">
        <f>IF(Granger_Inventory[[#This Row],[parcel_acres]]-Granger_Inventory[[#This Row],[non_valued_acres]] =0,0,LN(Granger_Inventory[[#This Row],[parcel_acres]]-Granger_Inventory[[#This Row],[non_valued_acres]]))</f>
        <v>2.2016591744040852</v>
      </c>
      <c r="M558">
        <v>0</v>
      </c>
      <c r="N558">
        <v>0</v>
      </c>
      <c r="O558">
        <v>0</v>
      </c>
      <c r="P558">
        <v>47108.068500000001</v>
      </c>
      <c r="Q558">
        <v>122298</v>
      </c>
      <c r="R558">
        <f>(Granger_Inventory[[#This Row],[ln_acres]]*Granger_Inventory[[#This Row],[coeff]])+Granger_Inventory[[#This Row],[const]]</f>
        <v>226013.9112014811</v>
      </c>
      <c r="S558" t="s">
        <v>56</v>
      </c>
      <c r="T558">
        <v>1</v>
      </c>
      <c r="U558" t="s">
        <v>64</v>
      </c>
      <c r="V558" t="s">
        <v>79</v>
      </c>
      <c r="W558">
        <v>0</v>
      </c>
      <c r="X558">
        <v>0</v>
      </c>
      <c r="Y558">
        <v>48</v>
      </c>
      <c r="Z558">
        <v>61</v>
      </c>
      <c r="AA558">
        <v>70</v>
      </c>
      <c r="AB558">
        <v>1500</v>
      </c>
      <c r="AC558">
        <v>1194</v>
      </c>
      <c r="AD558">
        <v>1194</v>
      </c>
      <c r="AE558">
        <v>0</v>
      </c>
      <c r="AF558">
        <v>0</v>
      </c>
      <c r="AG558">
        <v>0</v>
      </c>
      <c r="AH558">
        <v>786</v>
      </c>
      <c r="AI558">
        <v>0</v>
      </c>
      <c r="AJ558">
        <v>0</v>
      </c>
      <c r="AK558">
        <v>0</v>
      </c>
      <c r="AL558">
        <v>0</v>
      </c>
      <c r="AM558">
        <v>264</v>
      </c>
      <c r="AN558">
        <v>84</v>
      </c>
      <c r="AO558">
        <v>264</v>
      </c>
      <c r="AP558">
        <v>5</v>
      </c>
      <c r="AQ558">
        <v>0</v>
      </c>
      <c r="AR558">
        <v>1</v>
      </c>
      <c r="AS558" t="s">
        <v>59</v>
      </c>
      <c r="AT558">
        <v>1</v>
      </c>
      <c r="AU558" t="s">
        <v>60</v>
      </c>
      <c r="AV558" t="s">
        <v>61</v>
      </c>
      <c r="AW558">
        <v>0</v>
      </c>
      <c r="AX558">
        <v>2</v>
      </c>
      <c r="AY558">
        <v>0</v>
      </c>
      <c r="AZ558">
        <v>0</v>
      </c>
      <c r="BA558">
        <v>100</v>
      </c>
      <c r="BB558">
        <v>100</v>
      </c>
      <c r="BC558">
        <v>100</v>
      </c>
      <c r="BD558">
        <v>100</v>
      </c>
      <c r="BE558">
        <v>1</v>
      </c>
      <c r="BF558">
        <v>15000</v>
      </c>
      <c r="BG558">
        <v>1000</v>
      </c>
      <c r="BH558" s="8">
        <f>Granger_Inventory[[#This Row],[land_extract]]*Lookups!$B$3</f>
        <v>134643.4481311873</v>
      </c>
      <c r="BI558" s="8">
        <f>IF(Granger_Inventory[[#This Row],[bldg_style]]="",0,Lookups!$B$2)</f>
        <v>29703.559000000001</v>
      </c>
      <c r="BJ558" s="8">
        <f>_xlfn.IFNA(VLOOKUP(Granger_Inventory[[#This Row],[quality]],Lookups!$H$2:$J$14,3,FALSE),0)</f>
        <v>36568</v>
      </c>
      <c r="BK558" s="8">
        <f>_xlfn.IFNA(VLOOKUP(Granger_Inventory[[#This Row],[condition]],Lookups!$H$17:$J$24,3,FALSE),0)</f>
        <v>86727</v>
      </c>
      <c r="BL558" s="8">
        <f>Granger_Inventory[[#This Row],[Age]]*Lookups!$B$16</f>
        <v>-12647.197099999999</v>
      </c>
      <c r="BM558" s="8">
        <f>Granger_Inventory[[#This Row],[living_area]]*Lookups!$B$17</f>
        <v>80323.853346000004</v>
      </c>
      <c r="BN558" s="8">
        <f>(Granger_Inventory[[#This Row],[att_gar]]+Granger_Inventory[[#This Row],[blt_gar]])*Lookups!$B$18</f>
        <v>0</v>
      </c>
      <c r="BO558" s="8">
        <f>Granger_Inventory[[#This Row],[Patio]]*Lookups!$B$19</f>
        <v>14339.185344</v>
      </c>
      <c r="BP558" s="8">
        <f>SUM(Granger_Inventory[[#This Row],[Intercept]:[Patio_Value]])*Granger_Inventory[[#This Row],[res_pct]]</f>
        <v>235014.40059000003</v>
      </c>
      <c r="BQ558" s="8">
        <f>Granger_Inventory[[#This Row],[land_value]]</f>
        <v>134643.4481311873</v>
      </c>
      <c r="BR558" s="4">
        <f>_xlfn.IFNA(VLOOKUP(Granger_Inventory[[#This Row],[quality]],Lookups!$A$25:$C$35,3,FALSE),1)</f>
        <v>0.99049976351917957</v>
      </c>
      <c r="BS558" s="4">
        <f>_xlfn.IFNA(VLOOKUP(Granger_Inventory[[#This Row],[condition]],Lookups!$A$38:$C$45,3,FALSE),1)</f>
        <v>0.85322907131620684</v>
      </c>
      <c r="BT558" s="4">
        <f>IF(Granger_Inventory[[#This Row],[decade]]="",1,_xlfn.IFNA(VLOOKUP(Granger_Inventory[[#This Row],[decade]],Lookups!$G$28:$I$42,3,FALSE),1))</f>
        <v>1.0270382440255921</v>
      </c>
      <c r="BU558" s="4">
        <f>_xlfn.IFNA(VLOOKUP(Granger_Inventory[[#This Row],[living_area_range]],Lookups!$A$48:$C$57,3,FALSE),1)</f>
        <v>0.97960506760539345</v>
      </c>
      <c r="BV558" s="4">
        <f>AVERAGE(Granger_Inventory[[#This Row],[qual_adj]:[living_range_adj]])</f>
        <v>0.96259303661659301</v>
      </c>
      <c r="BW558" s="8">
        <f>(Granger_Inventory[[#This Row],[sum_land]]-IF(Granger_Inventory[[#This Row],[no_utilities]]=1,12000,0))/IF(Granger_Inventory[[#This Row],[unbuildable]]=1,2,1)</f>
        <v>134643.4481311873</v>
      </c>
      <c r="BX558" s="8">
        <f>Granger_Inventory[[#This Row],[pre_res]]*Granger_Inventory[[#This Row],[overall_adj]]</f>
        <v>226223.22551255656</v>
      </c>
      <c r="BY558">
        <f>IF(ROUND(Granger_Inventory[[#This Row],[adj_land]]*Lookups!$I$45,-2)&lt;Granger_Inventory[[#This Row],[min_land]],Granger_Inventory[[#This Row],[min_land]],ROUND(Granger_Inventory[[#This Row],[adj_land]]*Lookups!$I$45,-2))</f>
        <v>127900</v>
      </c>
      <c r="BZ558">
        <f>ROUND(Granger_Inventory[[#This Row],[detatched_value]]*Lookups!$I$45,-2)</f>
        <v>0</v>
      </c>
      <c r="CA558">
        <f>IF(ROUND(Granger_Inventory[[#This Row],[adj_res]]*Lookups!$I$45,-2)&lt;Granger_Inventory[[#This Row],[min_res]],Granger_Inventory[[#This Row],[min_res]],ROUND(Granger_Inventory[[#This Row],[adj_res]]*Lookups!$I$45,-2))</f>
        <v>214900</v>
      </c>
      <c r="CB558">
        <f>Granger_Inventory[[#This Row],[final_det]]+Granger_Inventory[[#This Row],[final_res]]</f>
        <v>214900</v>
      </c>
      <c r="CC558">
        <f>Granger_Inventory[[#This Row],[final_land]]+Granger_Inventory[[#This Row],[final_imp]]+Granger_Inventory[[#This Row],[crop_value]]</f>
        <v>342800</v>
      </c>
      <c r="CE558" t="str">
        <f t="shared" si="8"/>
        <v>update valuation set market_land =127900, market_bldg=214900, market_total =342800, market_mdno =402, market_date ='9/10/2023' where link_id = (select link_id from parcel where parcel_year = '2024' and parcel_id = '21102142413');</v>
      </c>
    </row>
    <row r="559" spans="1:83" x14ac:dyDescent="0.25">
      <c r="A559">
        <v>21102212007</v>
      </c>
      <c r="B559">
        <v>0.83</v>
      </c>
      <c r="C559">
        <v>35977</v>
      </c>
      <c r="D559" t="s">
        <v>137</v>
      </c>
      <c r="E559" t="s">
        <v>54</v>
      </c>
      <c r="F559" t="s">
        <v>54</v>
      </c>
      <c r="G559">
        <v>3</v>
      </c>
      <c r="H559" t="s">
        <v>55</v>
      </c>
      <c r="I559">
        <v>166900</v>
      </c>
      <c r="J559">
        <v>36500</v>
      </c>
      <c r="K559">
        <v>0.83</v>
      </c>
      <c r="L559">
        <f>IF(Granger_Inventory[[#This Row],[parcel_acres]]-Granger_Inventory[[#This Row],[non_valued_acres]] =0,0,LN(Granger_Inventory[[#This Row],[parcel_acres]]-Granger_Inventory[[#This Row],[non_valued_acres]]))</f>
        <v>-0.18632957819149348</v>
      </c>
      <c r="M559">
        <v>0</v>
      </c>
      <c r="N559">
        <v>0</v>
      </c>
      <c r="O559">
        <v>0</v>
      </c>
      <c r="P559">
        <v>47108.068500000001</v>
      </c>
      <c r="Q559">
        <v>122298</v>
      </c>
      <c r="R559">
        <f>(Granger_Inventory[[#This Row],[ln_acres]]*Granger_Inventory[[#This Row],[coeff]])+Granger_Inventory[[#This Row],[const]]</f>
        <v>113520.37346697901</v>
      </c>
      <c r="S559" t="s">
        <v>80</v>
      </c>
      <c r="T559">
        <v>2</v>
      </c>
      <c r="U559" t="s">
        <v>71</v>
      </c>
      <c r="V559" t="s">
        <v>79</v>
      </c>
      <c r="W559">
        <v>0</v>
      </c>
      <c r="X559">
        <v>0</v>
      </c>
      <c r="Y559">
        <v>57</v>
      </c>
      <c r="Z559">
        <v>103</v>
      </c>
      <c r="AA559">
        <v>110</v>
      </c>
      <c r="AB559">
        <v>2500</v>
      </c>
      <c r="AC559">
        <v>2204</v>
      </c>
      <c r="AD559">
        <v>1866</v>
      </c>
      <c r="AE559">
        <v>338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286</v>
      </c>
      <c r="AN559">
        <v>80</v>
      </c>
      <c r="AO559">
        <v>0</v>
      </c>
      <c r="AP559">
        <v>5</v>
      </c>
      <c r="AQ559">
        <v>1</v>
      </c>
      <c r="AR559">
        <v>0</v>
      </c>
      <c r="AS559" t="s">
        <v>141</v>
      </c>
      <c r="AT559">
        <v>1</v>
      </c>
      <c r="AU559" t="s">
        <v>60</v>
      </c>
      <c r="AV559" t="s">
        <v>65</v>
      </c>
      <c r="AW559">
        <v>0</v>
      </c>
      <c r="AX559">
        <v>3</v>
      </c>
      <c r="AY559">
        <v>0</v>
      </c>
      <c r="AZ559">
        <v>2100</v>
      </c>
      <c r="BA559">
        <v>100</v>
      </c>
      <c r="BB559">
        <v>100</v>
      </c>
      <c r="BC559">
        <v>100</v>
      </c>
      <c r="BD559">
        <v>100</v>
      </c>
      <c r="BE559">
        <v>1</v>
      </c>
      <c r="BF559">
        <v>15000</v>
      </c>
      <c r="BG559">
        <v>1000</v>
      </c>
      <c r="BH559" s="8">
        <f>Granger_Inventory[[#This Row],[land_extract]]*Lookups!$B$3</f>
        <v>67627.582901782182</v>
      </c>
      <c r="BI559" s="8">
        <f>IF(Granger_Inventory[[#This Row],[bldg_style]]="",0,Lookups!$B$2)</f>
        <v>29703.559000000001</v>
      </c>
      <c r="BJ559" s="8">
        <f>_xlfn.IFNA(VLOOKUP(Granger_Inventory[[#This Row],[quality]],Lookups!$H$2:$J$14,3,FALSE),0)</f>
        <v>34195</v>
      </c>
      <c r="BK559" s="8">
        <f>_xlfn.IFNA(VLOOKUP(Granger_Inventory[[#This Row],[condition]],Lookups!$H$17:$J$24,3,FALSE),0)</f>
        <v>86727</v>
      </c>
      <c r="BL559" s="8">
        <f>Granger_Inventory[[#This Row],[Age]]*Lookups!$B$16</f>
        <v>-21355.103299999999</v>
      </c>
      <c r="BM559" s="8">
        <f>Granger_Inventory[[#This Row],[living_area]]*Lookups!$B$17</f>
        <v>148269.49143600001</v>
      </c>
      <c r="BN559" s="8">
        <f>(Granger_Inventory[[#This Row],[att_gar]]+Granger_Inventory[[#This Row],[blt_gar]])*Lookups!$B$18</f>
        <v>0</v>
      </c>
      <c r="BO559" s="8">
        <f>Granger_Inventory[[#This Row],[Patio]]*Lookups!$B$19</f>
        <v>15534.117456</v>
      </c>
      <c r="BP559" s="8">
        <f>SUM(Granger_Inventory[[#This Row],[Intercept]:[Patio_Value]])*Granger_Inventory[[#This Row],[res_pct]]</f>
        <v>293074.06459200004</v>
      </c>
      <c r="BQ559" s="8">
        <f>Granger_Inventory[[#This Row],[land_value]]</f>
        <v>67627.582901782182</v>
      </c>
      <c r="BR559" s="4">
        <f>_xlfn.IFNA(VLOOKUP(Granger_Inventory[[#This Row],[quality]],Lookups!$A$25:$C$35,3,FALSE),1)</f>
        <v>0.98258795897788032</v>
      </c>
      <c r="BS559" s="4">
        <f>_xlfn.IFNA(VLOOKUP(Granger_Inventory[[#This Row],[condition]],Lookups!$A$38:$C$45,3,FALSE),1)</f>
        <v>0.85322907131620684</v>
      </c>
      <c r="BT559" s="4">
        <f>IF(Granger_Inventory[[#This Row],[decade]]="",1,_xlfn.IFNA(VLOOKUP(Granger_Inventory[[#This Row],[decade]],Lookups!$G$28:$I$42,3,FALSE),1))</f>
        <v>0.879441629375324</v>
      </c>
      <c r="BU559" s="4">
        <f>_xlfn.IFNA(VLOOKUP(Granger_Inventory[[#This Row],[living_area_range]],Lookups!$A$48:$C$57,3,FALSE),1)</f>
        <v>1.0000039906678986</v>
      </c>
      <c r="BV559" s="4">
        <f>AVERAGE(Granger_Inventory[[#This Row],[qual_adj]:[living_range_adj]])</f>
        <v>0.92881566258432735</v>
      </c>
      <c r="BW559" s="8">
        <f>(Granger_Inventory[[#This Row],[sum_land]]-IF(Granger_Inventory[[#This Row],[no_utilities]]=1,12000,0))/IF(Granger_Inventory[[#This Row],[unbuildable]]=1,2,1)</f>
        <v>67627.582901782182</v>
      </c>
      <c r="BX559" s="8">
        <f>Granger_Inventory[[#This Row],[pre_res]]*Granger_Inventory[[#This Row],[overall_adj]]</f>
        <v>272211.78149030049</v>
      </c>
      <c r="BY559">
        <f>IF(ROUND(Granger_Inventory[[#This Row],[adj_land]]*Lookups!$I$45,-2)&lt;Granger_Inventory[[#This Row],[min_land]],Granger_Inventory[[#This Row],[min_land]],ROUND(Granger_Inventory[[#This Row],[adj_land]]*Lookups!$I$45,-2))</f>
        <v>64200</v>
      </c>
      <c r="BZ559">
        <f>ROUND(Granger_Inventory[[#This Row],[detatched_value]]*Lookups!$I$45,-2)</f>
        <v>2000</v>
      </c>
      <c r="CA559">
        <f>IF(ROUND(Granger_Inventory[[#This Row],[adj_res]]*Lookups!$I$45,-2)&lt;Granger_Inventory[[#This Row],[min_res]],Granger_Inventory[[#This Row],[min_res]],ROUND(Granger_Inventory[[#This Row],[adj_res]]*Lookups!$I$45,-2))</f>
        <v>258600</v>
      </c>
      <c r="CB559">
        <f>Granger_Inventory[[#This Row],[final_det]]+Granger_Inventory[[#This Row],[final_res]]</f>
        <v>260600</v>
      </c>
      <c r="CC559">
        <f>Granger_Inventory[[#This Row],[final_land]]+Granger_Inventory[[#This Row],[final_imp]]+Granger_Inventory[[#This Row],[crop_value]]</f>
        <v>324800</v>
      </c>
      <c r="CE559" t="str">
        <f t="shared" si="8"/>
        <v>update valuation set market_land =64200, market_bldg=260600, market_total =324800, market_mdno =402, market_date ='9/10/2023' where link_id = (select link_id from parcel where parcel_year = '2024' and parcel_id = '21102212007');</v>
      </c>
    </row>
    <row r="560" spans="1:83" x14ac:dyDescent="0.25">
      <c r="A560">
        <v>21102223420</v>
      </c>
      <c r="B560">
        <v>0.67</v>
      </c>
      <c r="C560">
        <v>29202</v>
      </c>
      <c r="D560" t="s">
        <v>137</v>
      </c>
      <c r="E560" t="s">
        <v>54</v>
      </c>
      <c r="F560" t="s">
        <v>54</v>
      </c>
      <c r="G560">
        <v>3</v>
      </c>
      <c r="H560" t="s">
        <v>55</v>
      </c>
      <c r="I560">
        <v>201100</v>
      </c>
      <c r="J560">
        <v>35200</v>
      </c>
      <c r="K560">
        <v>0.67</v>
      </c>
      <c r="L560">
        <f>IF(Granger_Inventory[[#This Row],[parcel_acres]]-Granger_Inventory[[#This Row],[non_valued_acres]] =0,0,LN(Granger_Inventory[[#This Row],[parcel_acres]]-Granger_Inventory[[#This Row],[non_valued_acres]]))</f>
        <v>-0.40047756659712525</v>
      </c>
      <c r="M560">
        <v>0</v>
      </c>
      <c r="N560">
        <v>0</v>
      </c>
      <c r="O560">
        <v>0</v>
      </c>
      <c r="P560">
        <v>47108.068500000001</v>
      </c>
      <c r="Q560">
        <v>122298</v>
      </c>
      <c r="R560">
        <f>(Granger_Inventory[[#This Row],[ln_acres]]*Granger_Inventory[[#This Row],[coeff]])+Granger_Inventory[[#This Row],[const]]</f>
        <v>103432.27536002931</v>
      </c>
      <c r="S560" t="s">
        <v>56</v>
      </c>
      <c r="T560">
        <v>1</v>
      </c>
      <c r="U560" t="s">
        <v>64</v>
      </c>
      <c r="V560" t="s">
        <v>77</v>
      </c>
      <c r="W560">
        <v>0</v>
      </c>
      <c r="X560">
        <v>0</v>
      </c>
      <c r="Y560">
        <v>44</v>
      </c>
      <c r="Z560">
        <v>48</v>
      </c>
      <c r="AA560">
        <v>50</v>
      </c>
      <c r="AB560">
        <v>2500</v>
      </c>
      <c r="AC560">
        <v>2200</v>
      </c>
      <c r="AD560">
        <v>1192</v>
      </c>
      <c r="AE560">
        <v>0</v>
      </c>
      <c r="AF560">
        <v>0</v>
      </c>
      <c r="AG560">
        <v>1008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98</v>
      </c>
      <c r="AO560">
        <v>0</v>
      </c>
      <c r="AP560">
        <v>8</v>
      </c>
      <c r="AQ560">
        <v>0</v>
      </c>
      <c r="AR560">
        <v>2</v>
      </c>
      <c r="AS560" t="s">
        <v>59</v>
      </c>
      <c r="AT560">
        <v>1</v>
      </c>
      <c r="AU560" t="s">
        <v>60</v>
      </c>
      <c r="AV560" t="s">
        <v>65</v>
      </c>
      <c r="AW560">
        <v>1</v>
      </c>
      <c r="AX560">
        <v>3</v>
      </c>
      <c r="AY560">
        <v>0</v>
      </c>
      <c r="AZ560">
        <v>0</v>
      </c>
      <c r="BA560">
        <v>100</v>
      </c>
      <c r="BB560">
        <v>100</v>
      </c>
      <c r="BC560">
        <v>100</v>
      </c>
      <c r="BD560">
        <v>100</v>
      </c>
      <c r="BE560">
        <v>1</v>
      </c>
      <c r="BF560">
        <v>15000</v>
      </c>
      <c r="BG560">
        <v>1000</v>
      </c>
      <c r="BH560" s="8">
        <f>Granger_Inventory[[#This Row],[land_extract]]*Lookups!$B$3</f>
        <v>61617.792146050546</v>
      </c>
      <c r="BI560" s="8">
        <f>IF(Granger_Inventory[[#This Row],[bldg_style]]="",0,Lookups!$B$2)</f>
        <v>29703.559000000001</v>
      </c>
      <c r="BJ560" s="8">
        <f>_xlfn.IFNA(VLOOKUP(Granger_Inventory[[#This Row],[quality]],Lookups!$H$2:$J$14,3,FALSE),0)</f>
        <v>36568</v>
      </c>
      <c r="BK560" s="8">
        <f>_xlfn.IFNA(VLOOKUP(Granger_Inventory[[#This Row],[condition]],Lookups!$H$17:$J$24,3,FALSE),0)</f>
        <v>33736</v>
      </c>
      <c r="BL560" s="8">
        <f>Granger_Inventory[[#This Row],[Age]]*Lookups!$B$16</f>
        <v>-9951.8927999999996</v>
      </c>
      <c r="BM560" s="8">
        <f>Granger_Inventory[[#This Row],[living_area]]*Lookups!$B$17</f>
        <v>148000.39979999998</v>
      </c>
      <c r="BN560" s="8">
        <f>(Granger_Inventory[[#This Row],[att_gar]]+Granger_Inventory[[#This Row],[blt_gar]])*Lookups!$B$18</f>
        <v>0</v>
      </c>
      <c r="BO560" s="8">
        <f>Granger_Inventory[[#This Row],[Patio]]*Lookups!$B$19</f>
        <v>0</v>
      </c>
      <c r="BP560" s="8">
        <f>SUM(Granger_Inventory[[#This Row],[Intercept]:[Patio_Value]])*Granger_Inventory[[#This Row],[res_pct]]</f>
        <v>238056.06599999999</v>
      </c>
      <c r="BQ560" s="8">
        <f>Granger_Inventory[[#This Row],[land_value]]</f>
        <v>61617.792146050546</v>
      </c>
      <c r="BR560" s="4">
        <f>_xlfn.IFNA(VLOOKUP(Granger_Inventory[[#This Row],[quality]],Lookups!$A$25:$C$35,3,FALSE),1)</f>
        <v>0.99049976351917957</v>
      </c>
      <c r="BS560" s="4">
        <f>_xlfn.IFNA(VLOOKUP(Granger_Inventory[[#This Row],[condition]],Lookups!$A$38:$C$45,3,FALSE),1)</f>
        <v>0.92294678898076177</v>
      </c>
      <c r="BT560" s="4">
        <f>IF(Granger_Inventory[[#This Row],[decade]]="",1,_xlfn.IFNA(VLOOKUP(Granger_Inventory[[#This Row],[decade]],Lookups!$G$28:$I$42,3,FALSE),1))</f>
        <v>1.2441094871772171</v>
      </c>
      <c r="BU560" s="4">
        <f>_xlfn.IFNA(VLOOKUP(Granger_Inventory[[#This Row],[living_area_range]],Lookups!$A$48:$C$57,3,FALSE),1)</f>
        <v>1.0000039906678986</v>
      </c>
      <c r="BV560" s="4">
        <f>AVERAGE(Granger_Inventory[[#This Row],[qual_adj]:[living_range_adj]])</f>
        <v>1.0393900075862643</v>
      </c>
      <c r="BW560" s="8">
        <f>(Granger_Inventory[[#This Row],[sum_land]]-IF(Granger_Inventory[[#This Row],[no_utilities]]=1,12000,0))/IF(Granger_Inventory[[#This Row],[unbuildable]]=1,2,1)</f>
        <v>61617.792146050546</v>
      </c>
      <c r="BX560" s="8">
        <f>Granger_Inventory[[#This Row],[pre_res]]*Granger_Inventory[[#This Row],[overall_adj]]</f>
        <v>247433.09624569624</v>
      </c>
      <c r="BY560">
        <f>IF(ROUND(Granger_Inventory[[#This Row],[adj_land]]*Lookups!$I$45,-2)&lt;Granger_Inventory[[#This Row],[min_land]],Granger_Inventory[[#This Row],[min_land]],ROUND(Granger_Inventory[[#This Row],[adj_land]]*Lookups!$I$45,-2))</f>
        <v>58500</v>
      </c>
      <c r="BZ560">
        <f>ROUND(Granger_Inventory[[#This Row],[detatched_value]]*Lookups!$I$45,-2)</f>
        <v>0</v>
      </c>
      <c r="CA560">
        <f>IF(ROUND(Granger_Inventory[[#This Row],[adj_res]]*Lookups!$I$45,-2)&lt;Granger_Inventory[[#This Row],[min_res]],Granger_Inventory[[#This Row],[min_res]],ROUND(Granger_Inventory[[#This Row],[adj_res]]*Lookups!$I$45,-2))</f>
        <v>235100</v>
      </c>
      <c r="CB560">
        <f>Granger_Inventory[[#This Row],[final_det]]+Granger_Inventory[[#This Row],[final_res]]</f>
        <v>235100</v>
      </c>
      <c r="CC560">
        <f>Granger_Inventory[[#This Row],[final_land]]+Granger_Inventory[[#This Row],[final_imp]]+Granger_Inventory[[#This Row],[crop_value]]</f>
        <v>293600</v>
      </c>
      <c r="CE560" t="str">
        <f t="shared" si="8"/>
        <v>update valuation set market_land =58500, market_bldg=235100, market_total =293600, market_mdno =402, market_date ='9/10/2023' where link_id = (select link_id from parcel where parcel_year = '2024' and parcel_id = '21102223420');</v>
      </c>
    </row>
    <row r="561" spans="1:83" x14ac:dyDescent="0.25">
      <c r="A561">
        <v>21102224401</v>
      </c>
      <c r="B561">
        <v>3.44</v>
      </c>
      <c r="C561" t="s">
        <v>137</v>
      </c>
      <c r="D561" t="s">
        <v>137</v>
      </c>
      <c r="E561" t="s">
        <v>54</v>
      </c>
      <c r="F561" t="s">
        <v>54</v>
      </c>
      <c r="G561">
        <v>3</v>
      </c>
      <c r="H561" t="s">
        <v>55</v>
      </c>
      <c r="I561">
        <v>260400</v>
      </c>
      <c r="J561">
        <v>44900</v>
      </c>
      <c r="K561">
        <v>3.44</v>
      </c>
      <c r="L561">
        <f>IF(Granger_Inventory[[#This Row],[parcel_acres]]-Granger_Inventory[[#This Row],[non_valued_acres]] =0,0,LN(Granger_Inventory[[#This Row],[parcel_acres]]-Granger_Inventory[[#This Row],[non_valued_acres]]))</f>
        <v>1.235471471385307</v>
      </c>
      <c r="M561">
        <v>0</v>
      </c>
      <c r="N561">
        <v>0</v>
      </c>
      <c r="O561">
        <v>0</v>
      </c>
      <c r="P561">
        <v>47108.068500000001</v>
      </c>
      <c r="Q561">
        <v>122298</v>
      </c>
      <c r="R561">
        <f>(Granger_Inventory[[#This Row],[ln_acres]]*Granger_Inventory[[#This Row],[coeff]])+Granger_Inventory[[#This Row],[const]]</f>
        <v>180498.67470381485</v>
      </c>
      <c r="S561" t="s">
        <v>62</v>
      </c>
      <c r="T561">
        <v>2</v>
      </c>
      <c r="U561" t="s">
        <v>64</v>
      </c>
      <c r="V561" t="s">
        <v>77</v>
      </c>
      <c r="W561">
        <v>0</v>
      </c>
      <c r="X561">
        <v>0</v>
      </c>
      <c r="Y561">
        <v>74</v>
      </c>
      <c r="Z561">
        <v>122</v>
      </c>
      <c r="AA561">
        <v>130</v>
      </c>
      <c r="AB561">
        <v>2000</v>
      </c>
      <c r="AC561">
        <v>1856</v>
      </c>
      <c r="AD561">
        <v>1232</v>
      </c>
      <c r="AE561">
        <v>624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448</v>
      </c>
      <c r="AO561">
        <v>0</v>
      </c>
      <c r="AP561">
        <v>5</v>
      </c>
      <c r="AQ561">
        <v>0</v>
      </c>
      <c r="AR561">
        <v>0</v>
      </c>
      <c r="AS561" t="s">
        <v>81</v>
      </c>
      <c r="AT561">
        <v>1</v>
      </c>
      <c r="AU561" t="s">
        <v>68</v>
      </c>
      <c r="AV561" t="s">
        <v>65</v>
      </c>
      <c r="AW561">
        <v>0</v>
      </c>
      <c r="AX561">
        <v>4</v>
      </c>
      <c r="AY561">
        <v>0</v>
      </c>
      <c r="AZ561">
        <v>75800</v>
      </c>
      <c r="BA561">
        <v>100</v>
      </c>
      <c r="BB561">
        <v>100</v>
      </c>
      <c r="BC561">
        <v>100</v>
      </c>
      <c r="BD561">
        <v>100</v>
      </c>
      <c r="BE561">
        <v>1</v>
      </c>
      <c r="BF561">
        <v>15000</v>
      </c>
      <c r="BG561">
        <v>1000</v>
      </c>
      <c r="BH561" s="8">
        <f>Granger_Inventory[[#This Row],[land_extract]]*Lookups!$B$3</f>
        <v>107528.61988024338</v>
      </c>
      <c r="BI561" s="8">
        <f>IF(Granger_Inventory[[#This Row],[bldg_style]]="",0,Lookups!$B$2)</f>
        <v>29703.559000000001</v>
      </c>
      <c r="BJ561" s="8">
        <f>_xlfn.IFNA(VLOOKUP(Granger_Inventory[[#This Row],[quality]],Lookups!$H$2:$J$14,3,FALSE),0)</f>
        <v>36568</v>
      </c>
      <c r="BK561" s="8">
        <f>_xlfn.IFNA(VLOOKUP(Granger_Inventory[[#This Row],[condition]],Lookups!$H$17:$J$24,3,FALSE),0)</f>
        <v>33736</v>
      </c>
      <c r="BL561" s="8">
        <f>Granger_Inventory[[#This Row],[Age]]*Lookups!$B$16</f>
        <v>-25294.394199999999</v>
      </c>
      <c r="BM561" s="8">
        <f>Granger_Inventory[[#This Row],[living_area]]*Lookups!$B$17</f>
        <v>124858.51910399999</v>
      </c>
      <c r="BN561" s="8">
        <f>(Granger_Inventory[[#This Row],[att_gar]]+Granger_Inventory[[#This Row],[blt_gar]])*Lookups!$B$18</f>
        <v>0</v>
      </c>
      <c r="BO561" s="8">
        <f>Granger_Inventory[[#This Row],[Patio]]*Lookups!$B$19</f>
        <v>0</v>
      </c>
      <c r="BP561" s="8">
        <f>SUM(Granger_Inventory[[#This Row],[Intercept]:[Patio_Value]])*Granger_Inventory[[#This Row],[res_pct]]</f>
        <v>199571.683904</v>
      </c>
      <c r="BQ561" s="8">
        <f>Granger_Inventory[[#This Row],[land_value]]</f>
        <v>107528.61988024338</v>
      </c>
      <c r="BR561" s="4">
        <f>_xlfn.IFNA(VLOOKUP(Granger_Inventory[[#This Row],[quality]],Lookups!$A$25:$C$35,3,FALSE),1)</f>
        <v>0.99049976351917957</v>
      </c>
      <c r="BS561" s="4">
        <f>_xlfn.IFNA(VLOOKUP(Granger_Inventory[[#This Row],[condition]],Lookups!$A$38:$C$45,3,FALSE),1)</f>
        <v>0.92294678898076177</v>
      </c>
      <c r="BT561" s="4">
        <f>IF(Granger_Inventory[[#This Row],[decade]]="",1,_xlfn.IFNA(VLOOKUP(Granger_Inventory[[#This Row],[decade]],Lookups!$G$28:$I$42,3,FALSE),1))</f>
        <v>0.879441629375324</v>
      </c>
      <c r="BU561" s="4">
        <f>_xlfn.IFNA(VLOOKUP(Granger_Inventory[[#This Row],[living_area_range]],Lookups!$A$48:$C$57,3,FALSE),1)</f>
        <v>0.97860968051050168</v>
      </c>
      <c r="BV561" s="4">
        <f>AVERAGE(Granger_Inventory[[#This Row],[qual_adj]:[living_range_adj]])</f>
        <v>0.94287446559644184</v>
      </c>
      <c r="BW561" s="8">
        <f>(Granger_Inventory[[#This Row],[sum_land]]-IF(Granger_Inventory[[#This Row],[no_utilities]]=1,12000,0))/IF(Granger_Inventory[[#This Row],[unbuildable]]=1,2,1)</f>
        <v>107528.61988024338</v>
      </c>
      <c r="BX561" s="8">
        <f>Granger_Inventory[[#This Row],[pre_res]]*Granger_Inventory[[#This Row],[overall_adj]]</f>
        <v>188171.04480916602</v>
      </c>
      <c r="BY561">
        <f>IF(ROUND(Granger_Inventory[[#This Row],[adj_land]]*Lookups!$I$45,-2)&lt;Granger_Inventory[[#This Row],[min_land]],Granger_Inventory[[#This Row],[min_land]],ROUND(Granger_Inventory[[#This Row],[adj_land]]*Lookups!$I$45,-2))</f>
        <v>102200</v>
      </c>
      <c r="BZ561">
        <f>ROUND(Granger_Inventory[[#This Row],[detatched_value]]*Lookups!$I$45,-2)</f>
        <v>72000</v>
      </c>
      <c r="CA561">
        <f>IF(ROUND(Granger_Inventory[[#This Row],[adj_res]]*Lookups!$I$45,-2)&lt;Granger_Inventory[[#This Row],[min_res]],Granger_Inventory[[#This Row],[min_res]],ROUND(Granger_Inventory[[#This Row],[adj_res]]*Lookups!$I$45,-2))</f>
        <v>178800</v>
      </c>
      <c r="CB561">
        <f>Granger_Inventory[[#This Row],[final_det]]+Granger_Inventory[[#This Row],[final_res]]</f>
        <v>250800</v>
      </c>
      <c r="CC561">
        <f>Granger_Inventory[[#This Row],[final_land]]+Granger_Inventory[[#This Row],[final_imp]]+Granger_Inventory[[#This Row],[crop_value]]</f>
        <v>353000</v>
      </c>
      <c r="CE561" t="str">
        <f t="shared" si="8"/>
        <v>update valuation set market_land =102200, market_bldg=250800, market_total =353000, market_mdno =402, market_date ='9/10/2023' where link_id = (select link_id from parcel where parcel_year = '2024' and parcel_id = '21102224401');</v>
      </c>
    </row>
    <row r="562" spans="1:83" x14ac:dyDescent="0.25">
      <c r="A562">
        <v>21102231401</v>
      </c>
      <c r="B562">
        <v>0.42</v>
      </c>
      <c r="C562" t="s">
        <v>137</v>
      </c>
      <c r="D562" t="s">
        <v>137</v>
      </c>
      <c r="E562" t="s">
        <v>54</v>
      </c>
      <c r="F562" t="s">
        <v>54</v>
      </c>
      <c r="G562">
        <v>3</v>
      </c>
      <c r="H562" t="s">
        <v>55</v>
      </c>
      <c r="I562">
        <v>481500</v>
      </c>
      <c r="J562">
        <v>32400</v>
      </c>
      <c r="K562">
        <v>0.42</v>
      </c>
      <c r="L562">
        <f>IF(Granger_Inventory[[#This Row],[parcel_acres]]-Granger_Inventory[[#This Row],[non_valued_acres]] =0,0,LN(Granger_Inventory[[#This Row],[parcel_acres]]-Granger_Inventory[[#This Row],[non_valued_acres]]))</f>
        <v>-0.86750056770472306</v>
      </c>
      <c r="M562">
        <v>0</v>
      </c>
      <c r="N562">
        <v>0</v>
      </c>
      <c r="O562">
        <v>0</v>
      </c>
      <c r="P562">
        <v>47108.068500000001</v>
      </c>
      <c r="Q562">
        <v>122298</v>
      </c>
      <c r="R562">
        <f>(Granger_Inventory[[#This Row],[ln_acres]]*Granger_Inventory[[#This Row],[coeff]])+Granger_Inventory[[#This Row],[const]]</f>
        <v>81431.723832777017</v>
      </c>
      <c r="S562" t="s">
        <v>73</v>
      </c>
      <c r="T562">
        <v>1</v>
      </c>
      <c r="U562" t="s">
        <v>74</v>
      </c>
      <c r="V562" t="s">
        <v>70</v>
      </c>
      <c r="W562">
        <v>30700</v>
      </c>
      <c r="X562">
        <v>0</v>
      </c>
      <c r="Y562">
        <v>19</v>
      </c>
      <c r="Z562">
        <v>19</v>
      </c>
      <c r="AA562">
        <v>20</v>
      </c>
      <c r="AB562">
        <v>3000</v>
      </c>
      <c r="AC562">
        <v>2888</v>
      </c>
      <c r="AD562">
        <v>1454</v>
      </c>
      <c r="AE562">
        <v>0</v>
      </c>
      <c r="AF562">
        <v>0</v>
      </c>
      <c r="AG562">
        <v>1434</v>
      </c>
      <c r="AH562">
        <v>52</v>
      </c>
      <c r="AI562">
        <v>683</v>
      </c>
      <c r="AJ562">
        <v>0</v>
      </c>
      <c r="AK562">
        <v>0</v>
      </c>
      <c r="AL562">
        <v>207</v>
      </c>
      <c r="AM562">
        <v>0</v>
      </c>
      <c r="AN562">
        <v>24</v>
      </c>
      <c r="AO562">
        <v>0</v>
      </c>
      <c r="AP562">
        <v>13</v>
      </c>
      <c r="AQ562">
        <v>0</v>
      </c>
      <c r="AR562">
        <v>0</v>
      </c>
      <c r="AS562" t="s">
        <v>59</v>
      </c>
      <c r="AT562">
        <v>1</v>
      </c>
      <c r="AU562" t="s">
        <v>63</v>
      </c>
      <c r="AV562" t="s">
        <v>65</v>
      </c>
      <c r="AW562">
        <v>1</v>
      </c>
      <c r="AX562">
        <v>4</v>
      </c>
      <c r="AY562">
        <v>0</v>
      </c>
      <c r="AZ562">
        <v>0</v>
      </c>
      <c r="BA562">
        <v>100</v>
      </c>
      <c r="BB562">
        <v>100</v>
      </c>
      <c r="BC562">
        <v>100</v>
      </c>
      <c r="BD562">
        <v>100</v>
      </c>
      <c r="BE562">
        <v>1</v>
      </c>
      <c r="BF562">
        <v>15000</v>
      </c>
      <c r="BG562">
        <v>1000</v>
      </c>
      <c r="BH562" s="8">
        <f>Granger_Inventory[[#This Row],[land_extract]]*Lookups!$B$3</f>
        <v>48511.385984279317</v>
      </c>
      <c r="BI562" s="8">
        <f>IF(Granger_Inventory[[#This Row],[bldg_style]]="",0,Lookups!$B$2)</f>
        <v>29703.559000000001</v>
      </c>
      <c r="BJ562" s="8">
        <f>_xlfn.IFNA(VLOOKUP(Granger_Inventory[[#This Row],[quality]],Lookups!$H$2:$J$14,3,FALSE),0)</f>
        <v>94366</v>
      </c>
      <c r="BK562" s="8">
        <f>_xlfn.IFNA(VLOOKUP(Granger_Inventory[[#This Row],[condition]],Lookups!$H$17:$J$24,3,FALSE),0)</f>
        <v>80695</v>
      </c>
      <c r="BL562" s="8">
        <f>Granger_Inventory[[#This Row],[Age]]*Lookups!$B$16</f>
        <v>-3939.2909</v>
      </c>
      <c r="BM562" s="8">
        <f>Granger_Inventory[[#This Row],[living_area]]*Lookups!$B$17</f>
        <v>194284.161192</v>
      </c>
      <c r="BN562" s="8">
        <f>(Granger_Inventory[[#This Row],[att_gar]]+Granger_Inventory[[#This Row],[blt_gar]])*Lookups!$B$18</f>
        <v>33089.701238000001</v>
      </c>
      <c r="BO562" s="8">
        <f>Granger_Inventory[[#This Row],[Patio]]*Lookups!$B$19</f>
        <v>0</v>
      </c>
      <c r="BP562" s="8">
        <f>SUM(Granger_Inventory[[#This Row],[Intercept]:[Patio_Value]])*Granger_Inventory[[#This Row],[res_pct]]</f>
        <v>428199.13053000002</v>
      </c>
      <c r="BQ562" s="8">
        <f>Granger_Inventory[[#This Row],[land_value]]</f>
        <v>48511.385984279317</v>
      </c>
      <c r="BR562" s="4">
        <f>_xlfn.IFNA(VLOOKUP(Granger_Inventory[[#This Row],[quality]],Lookups!$A$25:$C$35,3,FALSE),1)</f>
        <v>0.99995754169072248</v>
      </c>
      <c r="BS562" s="4">
        <f>_xlfn.IFNA(VLOOKUP(Granger_Inventory[[#This Row],[condition]],Lookups!$A$38:$C$45,3,FALSE),1)</f>
        <v>0.99484195314749324</v>
      </c>
      <c r="BT562" s="4">
        <f>IF(Granger_Inventory[[#This Row],[decade]]="",1,_xlfn.IFNA(VLOOKUP(Granger_Inventory[[#This Row],[decade]],Lookups!$G$28:$I$42,3,FALSE),1))</f>
        <v>1.0159161060824455</v>
      </c>
      <c r="BU562" s="4">
        <f>_xlfn.IFNA(VLOOKUP(Granger_Inventory[[#This Row],[living_area_range]],Lookups!$A$48:$C$57,3,FALSE),1)</f>
        <v>0.99995754169072248</v>
      </c>
      <c r="BV562" s="4">
        <f>AVERAGE(Granger_Inventory[[#This Row],[qual_adj]:[living_range_adj]])</f>
        <v>1.0026682856528459</v>
      </c>
      <c r="BW562" s="8">
        <f>(Granger_Inventory[[#This Row],[sum_land]]-IF(Granger_Inventory[[#This Row],[no_utilities]]=1,12000,0))/IF(Granger_Inventory[[#This Row],[unbuildable]]=1,2,1)</f>
        <v>48511.385984279317</v>
      </c>
      <c r="BX562" s="8">
        <f>Granger_Inventory[[#This Row],[pre_res]]*Granger_Inventory[[#This Row],[overall_adj]]</f>
        <v>429341.68812655431</v>
      </c>
      <c r="BY562">
        <f>IF(ROUND(Granger_Inventory[[#This Row],[adj_land]]*Lookups!$I$45,-2)&lt;Granger_Inventory[[#This Row],[min_land]],Granger_Inventory[[#This Row],[min_land]],ROUND(Granger_Inventory[[#This Row],[adj_land]]*Lookups!$I$45,-2))</f>
        <v>46100</v>
      </c>
      <c r="BZ562">
        <f>ROUND(Granger_Inventory[[#This Row],[detatched_value]]*Lookups!$I$45,-2)</f>
        <v>0</v>
      </c>
      <c r="CA562">
        <f>IF(ROUND(Granger_Inventory[[#This Row],[adj_res]]*Lookups!$I$45,-2)&lt;Granger_Inventory[[#This Row],[min_res]],Granger_Inventory[[#This Row],[min_res]],ROUND(Granger_Inventory[[#This Row],[adj_res]]*Lookups!$I$45,-2))</f>
        <v>407900</v>
      </c>
      <c r="CB562">
        <f>Granger_Inventory[[#This Row],[final_det]]+Granger_Inventory[[#This Row],[final_res]]</f>
        <v>407900</v>
      </c>
      <c r="CC562">
        <f>Granger_Inventory[[#This Row],[final_land]]+Granger_Inventory[[#This Row],[final_imp]]+Granger_Inventory[[#This Row],[crop_value]]</f>
        <v>454000</v>
      </c>
      <c r="CE562" t="str">
        <f t="shared" si="8"/>
        <v>update valuation set market_land =46100, market_bldg=407900, market_total =454000, market_mdno =402, market_date ='9/10/2023' where link_id = (select link_id from parcel where parcel_year = '2024' and parcel_id = '21102231401');</v>
      </c>
    </row>
    <row r="563" spans="1:83" x14ac:dyDescent="0.25">
      <c r="A563">
        <v>21102231402</v>
      </c>
      <c r="B563">
        <v>0.5</v>
      </c>
      <c r="C563" t="s">
        <v>137</v>
      </c>
      <c r="D563" t="s">
        <v>137</v>
      </c>
      <c r="E563" t="s">
        <v>54</v>
      </c>
      <c r="F563" t="s">
        <v>54</v>
      </c>
      <c r="G563">
        <v>3</v>
      </c>
      <c r="H563" t="s">
        <v>55</v>
      </c>
      <c r="I563">
        <v>382900</v>
      </c>
      <c r="J563">
        <v>33500</v>
      </c>
      <c r="K563">
        <v>0.5</v>
      </c>
      <c r="L563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563">
        <v>0</v>
      </c>
      <c r="N563">
        <v>0</v>
      </c>
      <c r="O563">
        <v>0</v>
      </c>
      <c r="P563">
        <v>47108.068500000001</v>
      </c>
      <c r="Q563">
        <v>122298</v>
      </c>
      <c r="R563">
        <f>(Granger_Inventory[[#This Row],[ln_acres]]*Granger_Inventory[[#This Row],[coeff]])+Granger_Inventory[[#This Row],[const]]</f>
        <v>89645.175137600221</v>
      </c>
      <c r="S563" t="s">
        <v>59</v>
      </c>
      <c r="T563">
        <v>1</v>
      </c>
      <c r="U563" t="s">
        <v>61</v>
      </c>
      <c r="V563" t="s">
        <v>70</v>
      </c>
      <c r="W563">
        <v>0</v>
      </c>
      <c r="X563">
        <v>0</v>
      </c>
      <c r="Y563">
        <v>21</v>
      </c>
      <c r="Z563">
        <v>21</v>
      </c>
      <c r="AA563">
        <v>30</v>
      </c>
      <c r="AB563">
        <v>2000</v>
      </c>
      <c r="AC563">
        <v>1950</v>
      </c>
      <c r="AD563">
        <v>1464</v>
      </c>
      <c r="AE563">
        <v>0</v>
      </c>
      <c r="AF563">
        <v>0</v>
      </c>
      <c r="AG563">
        <v>486</v>
      </c>
      <c r="AH563">
        <v>112</v>
      </c>
      <c r="AI563">
        <v>462</v>
      </c>
      <c r="AJ563">
        <v>0</v>
      </c>
      <c r="AK563">
        <v>0</v>
      </c>
      <c r="AL563">
        <v>357</v>
      </c>
      <c r="AM563">
        <v>224</v>
      </c>
      <c r="AN563">
        <v>96</v>
      </c>
      <c r="AO563">
        <v>105</v>
      </c>
      <c r="AP563">
        <v>12</v>
      </c>
      <c r="AQ563">
        <v>1</v>
      </c>
      <c r="AR563">
        <v>0</v>
      </c>
      <c r="AS563" t="s">
        <v>59</v>
      </c>
      <c r="AT563">
        <v>1</v>
      </c>
      <c r="AU563" t="s">
        <v>63</v>
      </c>
      <c r="AV563" t="s">
        <v>65</v>
      </c>
      <c r="AW563">
        <v>1</v>
      </c>
      <c r="AX563">
        <v>3</v>
      </c>
      <c r="AY563">
        <v>0</v>
      </c>
      <c r="AZ563">
        <v>0</v>
      </c>
      <c r="BA563">
        <v>100</v>
      </c>
      <c r="BB563">
        <v>100</v>
      </c>
      <c r="BC563">
        <v>100</v>
      </c>
      <c r="BD563">
        <v>100</v>
      </c>
      <c r="BE563">
        <v>1</v>
      </c>
      <c r="BF563">
        <v>15000</v>
      </c>
      <c r="BG563">
        <v>1000</v>
      </c>
      <c r="BH563" s="8">
        <f>Granger_Inventory[[#This Row],[land_extract]]*Lookups!$B$3</f>
        <v>53404.391900862691</v>
      </c>
      <c r="BI563" s="8">
        <f>IF(Granger_Inventory[[#This Row],[bldg_style]]="",0,Lookups!$B$2)</f>
        <v>29703.559000000001</v>
      </c>
      <c r="BJ563" s="8">
        <f>_xlfn.IFNA(VLOOKUP(Granger_Inventory[[#This Row],[quality]],Lookups!$H$2:$J$14,3,FALSE),0)</f>
        <v>71767</v>
      </c>
      <c r="BK563" s="8">
        <f>_xlfn.IFNA(VLOOKUP(Granger_Inventory[[#This Row],[condition]],Lookups!$H$17:$J$24,3,FALSE),0)</f>
        <v>80695</v>
      </c>
      <c r="BL563" s="8">
        <f>Granger_Inventory[[#This Row],[Age]]*Lookups!$B$16</f>
        <v>-4353.9530999999997</v>
      </c>
      <c r="BM563" s="8">
        <f>Granger_Inventory[[#This Row],[living_area]]*Lookups!$B$17</f>
        <v>131182.17254999999</v>
      </c>
      <c r="BN563" s="8">
        <f>(Granger_Inventory[[#This Row],[att_gar]]+Granger_Inventory[[#This Row],[blt_gar]])*Lookups!$B$18</f>
        <v>22382.784732</v>
      </c>
      <c r="BO563" s="8">
        <f>Granger_Inventory[[#This Row],[Patio]]*Lookups!$B$19</f>
        <v>12166.581504</v>
      </c>
      <c r="BP563" s="8">
        <f>SUM(Granger_Inventory[[#This Row],[Intercept]:[Patio_Value]])*Granger_Inventory[[#This Row],[res_pct]]</f>
        <v>343543.14468599996</v>
      </c>
      <c r="BQ563" s="8">
        <f>Granger_Inventory[[#This Row],[land_value]]</f>
        <v>53404.391900862691</v>
      </c>
      <c r="BR563" s="4">
        <f>_xlfn.IFNA(VLOOKUP(Granger_Inventory[[#This Row],[quality]],Lookups!$A$25:$C$35,3,FALSE),1)</f>
        <v>0.992092799099482</v>
      </c>
      <c r="BS563" s="4">
        <f>_xlfn.IFNA(VLOOKUP(Granger_Inventory[[#This Row],[condition]],Lookups!$A$38:$C$45,3,FALSE),1)</f>
        <v>0.99484195314749324</v>
      </c>
      <c r="BT563" s="4">
        <f>IF(Granger_Inventory[[#This Row],[decade]]="",1,_xlfn.IFNA(VLOOKUP(Granger_Inventory[[#This Row],[decade]],Lookups!$G$28:$I$42,3,FALSE),1))</f>
        <v>1.0539470644652671</v>
      </c>
      <c r="BU563" s="4">
        <f>_xlfn.IFNA(VLOOKUP(Granger_Inventory[[#This Row],[living_area_range]],Lookups!$A$48:$C$57,3,FALSE),1)</f>
        <v>0.97860968051050168</v>
      </c>
      <c r="BV563" s="4">
        <f>AVERAGE(Granger_Inventory[[#This Row],[qual_adj]:[living_range_adj]])</f>
        <v>1.0048728743056861</v>
      </c>
      <c r="BW563" s="8">
        <f>(Granger_Inventory[[#This Row],[sum_land]]-IF(Granger_Inventory[[#This Row],[no_utilities]]=1,12000,0))/IF(Granger_Inventory[[#This Row],[unbuildable]]=1,2,1)</f>
        <v>53404.391900862691</v>
      </c>
      <c r="BX563" s="8">
        <f>Granger_Inventory[[#This Row],[pre_res]]*Granger_Inventory[[#This Row],[overall_adj]]</f>
        <v>345217.18724863493</v>
      </c>
      <c r="BY563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563">
        <f>ROUND(Granger_Inventory[[#This Row],[detatched_value]]*Lookups!$I$45,-2)</f>
        <v>0</v>
      </c>
      <c r="CA563">
        <f>IF(ROUND(Granger_Inventory[[#This Row],[adj_res]]*Lookups!$I$45,-2)&lt;Granger_Inventory[[#This Row],[min_res]],Granger_Inventory[[#This Row],[min_res]],ROUND(Granger_Inventory[[#This Row],[adj_res]]*Lookups!$I$45,-2))</f>
        <v>328000</v>
      </c>
      <c r="CB563">
        <f>Granger_Inventory[[#This Row],[final_det]]+Granger_Inventory[[#This Row],[final_res]]</f>
        <v>328000</v>
      </c>
      <c r="CC563">
        <f>Granger_Inventory[[#This Row],[final_land]]+Granger_Inventory[[#This Row],[final_imp]]+Granger_Inventory[[#This Row],[crop_value]]</f>
        <v>378700</v>
      </c>
      <c r="CE563" t="str">
        <f t="shared" si="8"/>
        <v>update valuation set market_land =50700, market_bldg=328000, market_total =378700, market_mdno =402, market_date ='9/10/2023' where link_id = (select link_id from parcel where parcel_year = '2024' and parcel_id = '21102231402');</v>
      </c>
    </row>
    <row r="564" spans="1:83" x14ac:dyDescent="0.25">
      <c r="A564">
        <v>21102231403</v>
      </c>
      <c r="B564">
        <v>0.49</v>
      </c>
      <c r="C564">
        <v>21403</v>
      </c>
      <c r="D564" t="s">
        <v>137</v>
      </c>
      <c r="E564" t="s">
        <v>54</v>
      </c>
      <c r="F564" t="s">
        <v>54</v>
      </c>
      <c r="G564">
        <v>3</v>
      </c>
      <c r="H564" t="s">
        <v>55</v>
      </c>
      <c r="I564">
        <v>687100</v>
      </c>
      <c r="J564">
        <v>33300</v>
      </c>
      <c r="K564">
        <v>0.49</v>
      </c>
      <c r="L564">
        <f>IF(Granger_Inventory[[#This Row],[parcel_acres]]-Granger_Inventory[[#This Row],[non_valued_acres]] =0,0,LN(Granger_Inventory[[#This Row],[parcel_acres]]-Granger_Inventory[[#This Row],[non_valued_acres]]))</f>
        <v>-0.71334988787746478</v>
      </c>
      <c r="M564">
        <v>0</v>
      </c>
      <c r="N564">
        <v>0</v>
      </c>
      <c r="O564">
        <v>0</v>
      </c>
      <c r="P564">
        <v>47108.068500000001</v>
      </c>
      <c r="Q564">
        <v>122298</v>
      </c>
      <c r="R564">
        <f>(Granger_Inventory[[#This Row],[ln_acres]]*Granger_Inventory[[#This Row],[coeff]])+Granger_Inventory[[#This Row],[const]]</f>
        <v>88693.46461740107</v>
      </c>
      <c r="S564" t="s">
        <v>73</v>
      </c>
      <c r="T564">
        <v>1</v>
      </c>
      <c r="U564" t="s">
        <v>74</v>
      </c>
      <c r="V564" t="s">
        <v>70</v>
      </c>
      <c r="W564">
        <v>30700</v>
      </c>
      <c r="X564">
        <v>0</v>
      </c>
      <c r="Y564">
        <v>17</v>
      </c>
      <c r="Z564">
        <v>17</v>
      </c>
      <c r="AA564">
        <v>20</v>
      </c>
      <c r="AB564">
        <v>5000</v>
      </c>
      <c r="AC564">
        <v>4926</v>
      </c>
      <c r="AD564">
        <v>2626</v>
      </c>
      <c r="AE564">
        <v>0</v>
      </c>
      <c r="AF564">
        <v>0</v>
      </c>
      <c r="AG564">
        <v>2300</v>
      </c>
      <c r="AH564">
        <v>0</v>
      </c>
      <c r="AI564">
        <v>600</v>
      </c>
      <c r="AJ564">
        <v>0</v>
      </c>
      <c r="AK564">
        <v>0</v>
      </c>
      <c r="AL564">
        <v>644</v>
      </c>
      <c r="AM564">
        <v>644</v>
      </c>
      <c r="AN564">
        <v>0</v>
      </c>
      <c r="AO564">
        <v>644</v>
      </c>
      <c r="AP564">
        <v>15</v>
      </c>
      <c r="AQ564">
        <v>0</v>
      </c>
      <c r="AR564">
        <v>0</v>
      </c>
      <c r="AS564" t="s">
        <v>59</v>
      </c>
      <c r="AT564">
        <v>1</v>
      </c>
      <c r="AU564" t="s">
        <v>63</v>
      </c>
      <c r="AV564" t="s">
        <v>65</v>
      </c>
      <c r="AW564">
        <v>1</v>
      </c>
      <c r="AX564">
        <v>6</v>
      </c>
      <c r="AY564">
        <v>0</v>
      </c>
      <c r="AZ564">
        <v>0</v>
      </c>
      <c r="BA564">
        <v>100</v>
      </c>
      <c r="BB564">
        <v>100</v>
      </c>
      <c r="BC564">
        <v>100</v>
      </c>
      <c r="BD564">
        <v>100</v>
      </c>
      <c r="BE564">
        <v>1</v>
      </c>
      <c r="BF564">
        <v>15000</v>
      </c>
      <c r="BG564">
        <v>1000</v>
      </c>
      <c r="BH564" s="8">
        <f>Granger_Inventory[[#This Row],[land_extract]]*Lookups!$B$3</f>
        <v>52837.428631296032</v>
      </c>
      <c r="BI564" s="8">
        <f>IF(Granger_Inventory[[#This Row],[bldg_style]]="",0,Lookups!$B$2)</f>
        <v>29703.559000000001</v>
      </c>
      <c r="BJ564" s="8">
        <f>_xlfn.IFNA(VLOOKUP(Granger_Inventory[[#This Row],[quality]],Lookups!$H$2:$J$14,3,FALSE),0)</f>
        <v>94366</v>
      </c>
      <c r="BK564" s="8">
        <f>_xlfn.IFNA(VLOOKUP(Granger_Inventory[[#This Row],[condition]],Lookups!$H$17:$J$24,3,FALSE),0)</f>
        <v>80695</v>
      </c>
      <c r="BL564" s="8">
        <f>Granger_Inventory[[#This Row],[Age]]*Lookups!$B$16</f>
        <v>-3524.6286999999998</v>
      </c>
      <c r="BM564" s="8">
        <f>Granger_Inventory[[#This Row],[living_area]]*Lookups!$B$17</f>
        <v>331386.34973399999</v>
      </c>
      <c r="BN564" s="8">
        <f>(Granger_Inventory[[#This Row],[att_gar]]+Granger_Inventory[[#This Row],[blt_gar]])*Lookups!$B$18</f>
        <v>29068.551599999999</v>
      </c>
      <c r="BO564" s="8">
        <f>Granger_Inventory[[#This Row],[Patio]]*Lookups!$B$19</f>
        <v>34978.921823999997</v>
      </c>
      <c r="BP564" s="8">
        <f>SUM(Granger_Inventory[[#This Row],[Intercept]:[Patio_Value]])*Granger_Inventory[[#This Row],[res_pct]]</f>
        <v>596673.75345800002</v>
      </c>
      <c r="BQ564" s="8">
        <f>Granger_Inventory[[#This Row],[land_value]]</f>
        <v>52837.428631296032</v>
      </c>
      <c r="BR564" s="4">
        <f>_xlfn.IFNA(VLOOKUP(Granger_Inventory[[#This Row],[quality]],Lookups!$A$25:$C$35,3,FALSE),1)</f>
        <v>0.99995754169072248</v>
      </c>
      <c r="BS564" s="4">
        <f>_xlfn.IFNA(VLOOKUP(Granger_Inventory[[#This Row],[condition]],Lookups!$A$38:$C$45,3,FALSE),1)</f>
        <v>0.99484195314749324</v>
      </c>
      <c r="BT564" s="4">
        <f>IF(Granger_Inventory[[#This Row],[decade]]="",1,_xlfn.IFNA(VLOOKUP(Granger_Inventory[[#This Row],[decade]],Lookups!$G$28:$I$42,3,FALSE),1))</f>
        <v>1.0159161060824455</v>
      </c>
      <c r="BU564" s="4">
        <f>_xlfn.IFNA(VLOOKUP(Granger_Inventory[[#This Row],[living_area_range]],Lookups!$A$48:$C$57,3,FALSE),1)</f>
        <v>0.99995754169072248</v>
      </c>
      <c r="BV564" s="4">
        <f>AVERAGE(Granger_Inventory[[#This Row],[qual_adj]:[living_range_adj]])</f>
        <v>1.0026682856528459</v>
      </c>
      <c r="BW564" s="8">
        <f>(Granger_Inventory[[#This Row],[sum_land]]-IF(Granger_Inventory[[#This Row],[no_utilities]]=1,12000,0))/IF(Granger_Inventory[[#This Row],[unbuildable]]=1,2,1)</f>
        <v>52837.428631296032</v>
      </c>
      <c r="BX564" s="8">
        <f>Granger_Inventory[[#This Row],[pre_res]]*Granger_Inventory[[#This Row],[overall_adj]]</f>
        <v>598265.84947378177</v>
      </c>
      <c r="BY564">
        <f>IF(ROUND(Granger_Inventory[[#This Row],[adj_land]]*Lookups!$I$45,-2)&lt;Granger_Inventory[[#This Row],[min_land]],Granger_Inventory[[#This Row],[min_land]],ROUND(Granger_Inventory[[#This Row],[adj_land]]*Lookups!$I$45,-2))</f>
        <v>50200</v>
      </c>
      <c r="BZ564">
        <f>ROUND(Granger_Inventory[[#This Row],[detatched_value]]*Lookups!$I$45,-2)</f>
        <v>0</v>
      </c>
      <c r="CA564">
        <f>IF(ROUND(Granger_Inventory[[#This Row],[adj_res]]*Lookups!$I$45,-2)&lt;Granger_Inventory[[#This Row],[min_res]],Granger_Inventory[[#This Row],[min_res]],ROUND(Granger_Inventory[[#This Row],[adj_res]]*Lookups!$I$45,-2))</f>
        <v>568400</v>
      </c>
      <c r="CB564">
        <f>Granger_Inventory[[#This Row],[final_det]]+Granger_Inventory[[#This Row],[final_res]]</f>
        <v>568400</v>
      </c>
      <c r="CC564">
        <f>Granger_Inventory[[#This Row],[final_land]]+Granger_Inventory[[#This Row],[final_imp]]+Granger_Inventory[[#This Row],[crop_value]]</f>
        <v>618600</v>
      </c>
      <c r="CE564" t="str">
        <f t="shared" si="8"/>
        <v>update valuation set market_land =50200, market_bldg=568400, market_total =618600, market_mdno =402, market_date ='9/10/2023' where link_id = (select link_id from parcel where parcel_year = '2024' and parcel_id = '21102231403');</v>
      </c>
    </row>
    <row r="565" spans="1:83" x14ac:dyDescent="0.25">
      <c r="A565">
        <v>21102231404</v>
      </c>
      <c r="B565">
        <v>0.5</v>
      </c>
      <c r="C565">
        <v>21611</v>
      </c>
      <c r="D565" t="s">
        <v>137</v>
      </c>
      <c r="E565" t="s">
        <v>54</v>
      </c>
      <c r="F565" t="s">
        <v>54</v>
      </c>
      <c r="G565">
        <v>3</v>
      </c>
      <c r="H565" t="s">
        <v>55</v>
      </c>
      <c r="I565">
        <v>639700</v>
      </c>
      <c r="J565">
        <v>32800</v>
      </c>
      <c r="K565">
        <v>0.5</v>
      </c>
      <c r="L565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565">
        <v>0</v>
      </c>
      <c r="N565">
        <v>0</v>
      </c>
      <c r="O565">
        <v>0</v>
      </c>
      <c r="P565">
        <v>47108.068500000001</v>
      </c>
      <c r="Q565">
        <v>122298</v>
      </c>
      <c r="R565">
        <f>(Granger_Inventory[[#This Row],[ln_acres]]*Granger_Inventory[[#This Row],[coeff]])+Granger_Inventory[[#This Row],[const]]</f>
        <v>89645.175137600221</v>
      </c>
      <c r="S565" t="s">
        <v>59</v>
      </c>
      <c r="T565">
        <v>2</v>
      </c>
      <c r="U565" t="s">
        <v>104</v>
      </c>
      <c r="V565" t="s">
        <v>72</v>
      </c>
      <c r="W565">
        <v>78400</v>
      </c>
      <c r="X565">
        <v>0</v>
      </c>
      <c r="Y565">
        <v>12</v>
      </c>
      <c r="Z565">
        <v>12</v>
      </c>
      <c r="AA565">
        <v>20</v>
      </c>
      <c r="AB565">
        <v>4000</v>
      </c>
      <c r="AC565">
        <v>3551</v>
      </c>
      <c r="AD565">
        <v>2207</v>
      </c>
      <c r="AE565">
        <v>1344</v>
      </c>
      <c r="AF565">
        <v>0</v>
      </c>
      <c r="AG565">
        <v>0</v>
      </c>
      <c r="AH565">
        <v>0</v>
      </c>
      <c r="AI565">
        <v>676</v>
      </c>
      <c r="AJ565">
        <v>1140</v>
      </c>
      <c r="AK565">
        <v>0</v>
      </c>
      <c r="AL565">
        <v>0</v>
      </c>
      <c r="AM565">
        <v>0</v>
      </c>
      <c r="AN565">
        <v>779</v>
      </c>
      <c r="AO565">
        <v>0</v>
      </c>
      <c r="AP565">
        <v>14</v>
      </c>
      <c r="AQ565">
        <v>0</v>
      </c>
      <c r="AR565">
        <v>0</v>
      </c>
      <c r="AS565" t="s">
        <v>59</v>
      </c>
      <c r="AT565">
        <v>1</v>
      </c>
      <c r="AU565" t="s">
        <v>63</v>
      </c>
      <c r="AV565" t="s">
        <v>65</v>
      </c>
      <c r="AW565">
        <v>1</v>
      </c>
      <c r="AX565">
        <v>3</v>
      </c>
      <c r="AY565">
        <v>0</v>
      </c>
      <c r="AZ565">
        <v>66500</v>
      </c>
      <c r="BA565">
        <v>100</v>
      </c>
      <c r="BB565">
        <v>100</v>
      </c>
      <c r="BC565">
        <v>100</v>
      </c>
      <c r="BD565">
        <v>100</v>
      </c>
      <c r="BE565">
        <v>1</v>
      </c>
      <c r="BF565">
        <v>15000</v>
      </c>
      <c r="BG565">
        <v>1000</v>
      </c>
      <c r="BH565" s="8">
        <f>Granger_Inventory[[#This Row],[land_extract]]*Lookups!$B$3</f>
        <v>53404.391900862691</v>
      </c>
      <c r="BI565" s="8">
        <f>IF(Granger_Inventory[[#This Row],[bldg_style]]="",0,Lookups!$B$2)</f>
        <v>29703.559000000001</v>
      </c>
      <c r="BJ565" s="8">
        <f>_xlfn.IFNA(VLOOKUP(Granger_Inventory[[#This Row],[quality]],Lookups!$H$2:$J$14,3,FALSE),0)</f>
        <v>125470.18226732589</v>
      </c>
      <c r="BK565" s="8">
        <f>_xlfn.IFNA(VLOOKUP(Granger_Inventory[[#This Row],[condition]],Lookups!$H$17:$J$24,3,FALSE),0)</f>
        <v>94106</v>
      </c>
      <c r="BL565" s="8">
        <f>Granger_Inventory[[#This Row],[Age]]*Lookups!$B$16</f>
        <v>-2487.9731999999999</v>
      </c>
      <c r="BM565" s="8">
        <f>Granger_Inventory[[#This Row],[living_area]]*Lookups!$B$17</f>
        <v>238886.09985900001</v>
      </c>
      <c r="BN565" s="8">
        <f>(Granger_Inventory[[#This Row],[att_gar]]+Granger_Inventory[[#This Row],[blt_gar]])*Lookups!$B$18</f>
        <v>87980.816176000008</v>
      </c>
      <c r="BO565" s="8">
        <f>Granger_Inventory[[#This Row],[Patio]]*Lookups!$B$19</f>
        <v>0</v>
      </c>
      <c r="BP565" s="8">
        <f>SUM(Granger_Inventory[[#This Row],[Intercept]:[Patio_Value]])*Granger_Inventory[[#This Row],[res_pct]]</f>
        <v>573658.68410232593</v>
      </c>
      <c r="BQ565" s="8">
        <f>Granger_Inventory[[#This Row],[land_value]]</f>
        <v>53404.391900862691</v>
      </c>
      <c r="BR565" s="4">
        <f>_xlfn.IFNA(VLOOKUP(Granger_Inventory[[#This Row],[quality]],Lookups!$A$25:$C$35,3,FALSE),1)</f>
        <v>1.0000039906678986</v>
      </c>
      <c r="BS565" s="4">
        <f>_xlfn.IFNA(VLOOKUP(Granger_Inventory[[#This Row],[condition]],Lookups!$A$38:$C$45,3,FALSE),1)</f>
        <v>0.98658583151544277</v>
      </c>
      <c r="BT565" s="4">
        <f>IF(Granger_Inventory[[#This Row],[decade]]="",1,_xlfn.IFNA(VLOOKUP(Granger_Inventory[[#This Row],[decade]],Lookups!$G$28:$I$42,3,FALSE),1))</f>
        <v>1.0159161060824455</v>
      </c>
      <c r="BU565" s="4">
        <f>_xlfn.IFNA(VLOOKUP(Granger_Inventory[[#This Row],[living_area_range]],Lookups!$A$48:$C$57,3,FALSE),1)</f>
        <v>0.99995754169072248</v>
      </c>
      <c r="BV565" s="4">
        <f>AVERAGE(Granger_Inventory[[#This Row],[qual_adj]:[living_range_adj]])</f>
        <v>1.0006158674891275</v>
      </c>
      <c r="BW565" s="8">
        <f>(Granger_Inventory[[#This Row],[sum_land]]-IF(Granger_Inventory[[#This Row],[no_utilities]]=1,12000,0))/IF(Granger_Inventory[[#This Row],[unbuildable]]=1,2,1)</f>
        <v>53404.391900862691</v>
      </c>
      <c r="BX565" s="8">
        <f>Granger_Inventory[[#This Row],[pre_res]]*Granger_Inventory[[#This Row],[overall_adj]]</f>
        <v>574011.98183572025</v>
      </c>
      <c r="BY565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565">
        <f>ROUND(Granger_Inventory[[#This Row],[detatched_value]]*Lookups!$I$45,-2)</f>
        <v>63200</v>
      </c>
      <c r="CA565">
        <f>IF(ROUND(Granger_Inventory[[#This Row],[adj_res]]*Lookups!$I$45,-2)&lt;Granger_Inventory[[#This Row],[min_res]],Granger_Inventory[[#This Row],[min_res]],ROUND(Granger_Inventory[[#This Row],[adj_res]]*Lookups!$I$45,-2))</f>
        <v>545300</v>
      </c>
      <c r="CB565">
        <f>Granger_Inventory[[#This Row],[final_det]]+Granger_Inventory[[#This Row],[final_res]]</f>
        <v>608500</v>
      </c>
      <c r="CC565">
        <f>Granger_Inventory[[#This Row],[final_land]]+Granger_Inventory[[#This Row],[final_imp]]+Granger_Inventory[[#This Row],[crop_value]]</f>
        <v>659200</v>
      </c>
      <c r="CE565" t="str">
        <f t="shared" si="8"/>
        <v>update valuation set market_land =50700, market_bldg=608500, market_total =659200, market_mdno =402, market_date ='9/10/2023' where link_id = (select link_id from parcel where parcel_year = '2024' and parcel_id = '21102231404');</v>
      </c>
    </row>
    <row r="566" spans="1:83" x14ac:dyDescent="0.25">
      <c r="A566">
        <v>21102231405</v>
      </c>
      <c r="B566">
        <v>0.62</v>
      </c>
      <c r="C566" t="s">
        <v>137</v>
      </c>
      <c r="D566" t="s">
        <v>137</v>
      </c>
      <c r="E566" t="s">
        <v>54</v>
      </c>
      <c r="F566" t="s">
        <v>54</v>
      </c>
      <c r="G566">
        <v>3</v>
      </c>
      <c r="H566" t="s">
        <v>55</v>
      </c>
      <c r="I566">
        <v>435500</v>
      </c>
      <c r="J566">
        <v>34000</v>
      </c>
      <c r="K566">
        <v>0.62</v>
      </c>
      <c r="L566">
        <f>IF(Granger_Inventory[[#This Row],[parcel_acres]]-Granger_Inventory[[#This Row],[non_valued_acres]] =0,0,LN(Granger_Inventory[[#This Row],[parcel_acres]]-Granger_Inventory[[#This Row],[non_valued_acres]]))</f>
        <v>-0.4780358009429998</v>
      </c>
      <c r="M566">
        <v>0</v>
      </c>
      <c r="N566">
        <v>0</v>
      </c>
      <c r="O566">
        <v>0</v>
      </c>
      <c r="P566">
        <v>47108.068500000001</v>
      </c>
      <c r="Q566">
        <v>122298</v>
      </c>
      <c r="R566">
        <f>(Granger_Inventory[[#This Row],[ln_acres]]*Granger_Inventory[[#This Row],[coeff]])+Granger_Inventory[[#This Row],[const]]</f>
        <v>99778.656743724801</v>
      </c>
      <c r="S566" t="s">
        <v>73</v>
      </c>
      <c r="T566">
        <v>1</v>
      </c>
      <c r="U566" t="s">
        <v>74</v>
      </c>
      <c r="V566" t="s">
        <v>72</v>
      </c>
      <c r="W566">
        <v>30700</v>
      </c>
      <c r="X566">
        <v>0</v>
      </c>
      <c r="Y566">
        <v>16</v>
      </c>
      <c r="Z566">
        <v>16</v>
      </c>
      <c r="AA566">
        <v>20</v>
      </c>
      <c r="AB566">
        <v>3000</v>
      </c>
      <c r="AC566">
        <v>2760</v>
      </c>
      <c r="AD566">
        <v>1380</v>
      </c>
      <c r="AE566">
        <v>0</v>
      </c>
      <c r="AF566">
        <v>0</v>
      </c>
      <c r="AG566">
        <v>1380</v>
      </c>
      <c r="AH566">
        <v>0</v>
      </c>
      <c r="AI566">
        <v>0</v>
      </c>
      <c r="AJ566">
        <v>0</v>
      </c>
      <c r="AK566">
        <v>0</v>
      </c>
      <c r="AL566">
        <v>220</v>
      </c>
      <c r="AM566">
        <v>623</v>
      </c>
      <c r="AN566">
        <v>0</v>
      </c>
      <c r="AO566">
        <v>302</v>
      </c>
      <c r="AP566">
        <v>12</v>
      </c>
      <c r="AQ566">
        <v>0</v>
      </c>
      <c r="AR566">
        <v>0</v>
      </c>
      <c r="AS566" t="s">
        <v>81</v>
      </c>
      <c r="AT566">
        <v>1</v>
      </c>
      <c r="AU566" t="s">
        <v>63</v>
      </c>
      <c r="AV566" t="s">
        <v>65</v>
      </c>
      <c r="AW566">
        <v>1</v>
      </c>
      <c r="AX566">
        <v>3</v>
      </c>
      <c r="AY566">
        <v>0</v>
      </c>
      <c r="AZ566">
        <v>41800</v>
      </c>
      <c r="BA566">
        <v>100</v>
      </c>
      <c r="BB566">
        <v>100</v>
      </c>
      <c r="BC566">
        <v>100</v>
      </c>
      <c r="BD566">
        <v>100</v>
      </c>
      <c r="BE566">
        <v>1</v>
      </c>
      <c r="BF566">
        <v>15000</v>
      </c>
      <c r="BG566">
        <v>1000</v>
      </c>
      <c r="BH566" s="8">
        <f>Granger_Inventory[[#This Row],[land_extract]]*Lookups!$B$3</f>
        <v>59441.219004864572</v>
      </c>
      <c r="BI566" s="8">
        <f>IF(Granger_Inventory[[#This Row],[bldg_style]]="",0,Lookups!$B$2)</f>
        <v>29703.559000000001</v>
      </c>
      <c r="BJ566" s="8">
        <f>_xlfn.IFNA(VLOOKUP(Granger_Inventory[[#This Row],[quality]],Lookups!$H$2:$J$14,3,FALSE),0)</f>
        <v>94366</v>
      </c>
      <c r="BK566" s="8">
        <f>_xlfn.IFNA(VLOOKUP(Granger_Inventory[[#This Row],[condition]],Lookups!$H$17:$J$24,3,FALSE),0)</f>
        <v>94106</v>
      </c>
      <c r="BL566" s="8">
        <f>Granger_Inventory[[#This Row],[Age]]*Lookups!$B$16</f>
        <v>-3317.2975999999999</v>
      </c>
      <c r="BM566" s="8">
        <f>Granger_Inventory[[#This Row],[living_area]]*Lookups!$B$17</f>
        <v>185673.22884</v>
      </c>
      <c r="BN566" s="8">
        <f>(Granger_Inventory[[#This Row],[att_gar]]+Granger_Inventory[[#This Row],[blt_gar]])*Lookups!$B$18</f>
        <v>0</v>
      </c>
      <c r="BO566" s="8">
        <f>Granger_Inventory[[#This Row],[Patio]]*Lookups!$B$19</f>
        <v>33838.304808000001</v>
      </c>
      <c r="BP566" s="8">
        <f>SUM(Granger_Inventory[[#This Row],[Intercept]:[Patio_Value]])*Granger_Inventory[[#This Row],[res_pct]]</f>
        <v>434369.795048</v>
      </c>
      <c r="BQ566" s="8">
        <f>Granger_Inventory[[#This Row],[land_value]]</f>
        <v>59441.219004864572</v>
      </c>
      <c r="BR566" s="4">
        <f>_xlfn.IFNA(VLOOKUP(Granger_Inventory[[#This Row],[quality]],Lookups!$A$25:$C$35,3,FALSE),1)</f>
        <v>0.99995754169072248</v>
      </c>
      <c r="BS566" s="4">
        <f>_xlfn.IFNA(VLOOKUP(Granger_Inventory[[#This Row],[condition]],Lookups!$A$38:$C$45,3,FALSE),1)</f>
        <v>0.98658583151544277</v>
      </c>
      <c r="BT566" s="4">
        <f>IF(Granger_Inventory[[#This Row],[decade]]="",1,_xlfn.IFNA(VLOOKUP(Granger_Inventory[[#This Row],[decade]],Lookups!$G$28:$I$42,3,FALSE),1))</f>
        <v>1.0159161060824455</v>
      </c>
      <c r="BU566" s="4">
        <f>_xlfn.IFNA(VLOOKUP(Granger_Inventory[[#This Row],[living_area_range]],Lookups!$A$48:$C$57,3,FALSE),1)</f>
        <v>0.99995754169072248</v>
      </c>
      <c r="BV566" s="4">
        <f>AVERAGE(Granger_Inventory[[#This Row],[qual_adj]:[living_range_adj]])</f>
        <v>1.0006042552448333</v>
      </c>
      <c r="BW566" s="8">
        <f>(Granger_Inventory[[#This Row],[sum_land]]-IF(Granger_Inventory[[#This Row],[no_utilities]]=1,12000,0))/IF(Granger_Inventory[[#This Row],[unbuildable]]=1,2,1)</f>
        <v>59441.219004864572</v>
      </c>
      <c r="BX566" s="8">
        <f>Granger_Inventory[[#This Row],[pre_res]]*Granger_Inventory[[#This Row],[overall_adj]]</f>
        <v>434632.2652748549</v>
      </c>
      <c r="BY566">
        <f>IF(ROUND(Granger_Inventory[[#This Row],[adj_land]]*Lookups!$I$45,-2)&lt;Granger_Inventory[[#This Row],[min_land]],Granger_Inventory[[#This Row],[min_land]],ROUND(Granger_Inventory[[#This Row],[adj_land]]*Lookups!$I$45,-2))</f>
        <v>56500</v>
      </c>
      <c r="BZ566">
        <f>ROUND(Granger_Inventory[[#This Row],[detatched_value]]*Lookups!$I$45,-2)</f>
        <v>39700</v>
      </c>
      <c r="CA566">
        <f>IF(ROUND(Granger_Inventory[[#This Row],[adj_res]]*Lookups!$I$45,-2)&lt;Granger_Inventory[[#This Row],[min_res]],Granger_Inventory[[#This Row],[min_res]],ROUND(Granger_Inventory[[#This Row],[adj_res]]*Lookups!$I$45,-2))</f>
        <v>412900</v>
      </c>
      <c r="CB566">
        <f>Granger_Inventory[[#This Row],[final_det]]+Granger_Inventory[[#This Row],[final_res]]</f>
        <v>452600</v>
      </c>
      <c r="CC566">
        <f>Granger_Inventory[[#This Row],[final_land]]+Granger_Inventory[[#This Row],[final_imp]]+Granger_Inventory[[#This Row],[crop_value]]</f>
        <v>509100</v>
      </c>
      <c r="CE566" t="str">
        <f t="shared" si="8"/>
        <v>update valuation set market_land =56500, market_bldg=452600, market_total =509100, market_mdno =402, market_date ='9/10/2023' where link_id = (select link_id from parcel where parcel_year = '2024' and parcel_id = '21102231405');</v>
      </c>
    </row>
    <row r="567" spans="1:83" x14ac:dyDescent="0.25">
      <c r="A567">
        <v>21102231406</v>
      </c>
      <c r="B567">
        <v>0.53</v>
      </c>
      <c r="C567">
        <v>22943</v>
      </c>
      <c r="D567" t="s">
        <v>137</v>
      </c>
      <c r="E567" t="s">
        <v>54</v>
      </c>
      <c r="F567" t="s">
        <v>54</v>
      </c>
      <c r="G567">
        <v>3</v>
      </c>
      <c r="H567" t="s">
        <v>55</v>
      </c>
      <c r="I567">
        <v>421700</v>
      </c>
      <c r="J567">
        <v>33800</v>
      </c>
      <c r="K567">
        <v>0.53</v>
      </c>
      <c r="L567">
        <f>IF(Granger_Inventory[[#This Row],[parcel_acres]]-Granger_Inventory[[#This Row],[non_valued_acres]] =0,0,LN(Granger_Inventory[[#This Row],[parcel_acres]]-Granger_Inventory[[#This Row],[non_valued_acres]]))</f>
        <v>-0.6348782724359695</v>
      </c>
      <c r="M567">
        <v>0</v>
      </c>
      <c r="N567">
        <v>0</v>
      </c>
      <c r="O567">
        <v>0</v>
      </c>
      <c r="P567">
        <v>47108.068500000001</v>
      </c>
      <c r="Q567">
        <v>122298</v>
      </c>
      <c r="R567">
        <f>(Granger_Inventory[[#This Row],[ln_acres]]*Granger_Inventory[[#This Row],[coeff]])+Granger_Inventory[[#This Row],[const]]</f>
        <v>92390.110852924685</v>
      </c>
      <c r="S567" t="s">
        <v>59</v>
      </c>
      <c r="T567">
        <v>1</v>
      </c>
      <c r="U567" t="s">
        <v>61</v>
      </c>
      <c r="V567" t="s">
        <v>72</v>
      </c>
      <c r="W567">
        <v>0</v>
      </c>
      <c r="X567">
        <v>0</v>
      </c>
      <c r="Y567">
        <v>18</v>
      </c>
      <c r="Z567">
        <v>18</v>
      </c>
      <c r="AA567">
        <v>20</v>
      </c>
      <c r="AB567">
        <v>3000</v>
      </c>
      <c r="AC567">
        <v>2606</v>
      </c>
      <c r="AD567">
        <v>1896</v>
      </c>
      <c r="AE567">
        <v>0</v>
      </c>
      <c r="AF567">
        <v>0</v>
      </c>
      <c r="AG567">
        <v>710</v>
      </c>
      <c r="AH567">
        <v>416</v>
      </c>
      <c r="AI567">
        <v>480</v>
      </c>
      <c r="AJ567">
        <v>0</v>
      </c>
      <c r="AK567">
        <v>0</v>
      </c>
      <c r="AL567">
        <v>724</v>
      </c>
      <c r="AM567">
        <v>402</v>
      </c>
      <c r="AN567">
        <v>0</v>
      </c>
      <c r="AO567">
        <v>258</v>
      </c>
      <c r="AP567">
        <v>13</v>
      </c>
      <c r="AQ567">
        <v>0</v>
      </c>
      <c r="AR567">
        <v>0</v>
      </c>
      <c r="AS567" t="s">
        <v>59</v>
      </c>
      <c r="AT567">
        <v>1</v>
      </c>
      <c r="AU567" t="s">
        <v>63</v>
      </c>
      <c r="AV567" t="s">
        <v>65</v>
      </c>
      <c r="AW567">
        <v>1</v>
      </c>
      <c r="AX567">
        <v>4</v>
      </c>
      <c r="AY567">
        <v>0</v>
      </c>
      <c r="AZ567">
        <v>0</v>
      </c>
      <c r="BA567">
        <v>100</v>
      </c>
      <c r="BB567">
        <v>100</v>
      </c>
      <c r="BC567">
        <v>100</v>
      </c>
      <c r="BD567">
        <v>100</v>
      </c>
      <c r="BE567">
        <v>1</v>
      </c>
      <c r="BF567">
        <v>15000</v>
      </c>
      <c r="BG567">
        <v>1000</v>
      </c>
      <c r="BH567" s="8">
        <f>Granger_Inventory[[#This Row],[land_extract]]*Lookups!$B$3</f>
        <v>55039.634650501503</v>
      </c>
      <c r="BI567" s="8">
        <f>IF(Granger_Inventory[[#This Row],[bldg_style]]="",0,Lookups!$B$2)</f>
        <v>29703.559000000001</v>
      </c>
      <c r="BJ567" s="8">
        <f>_xlfn.IFNA(VLOOKUP(Granger_Inventory[[#This Row],[quality]],Lookups!$H$2:$J$14,3,FALSE),0)</f>
        <v>71767</v>
      </c>
      <c r="BK567" s="8">
        <f>_xlfn.IFNA(VLOOKUP(Granger_Inventory[[#This Row],[condition]],Lookups!$H$17:$J$24,3,FALSE),0)</f>
        <v>94106</v>
      </c>
      <c r="BL567" s="8">
        <f>Granger_Inventory[[#This Row],[Age]]*Lookups!$B$16</f>
        <v>-3731.9597999999996</v>
      </c>
      <c r="BM567" s="8">
        <f>Granger_Inventory[[#This Row],[living_area]]*Lookups!$B$17</f>
        <v>175313.200854</v>
      </c>
      <c r="BN567" s="8">
        <f>(Granger_Inventory[[#This Row],[att_gar]]+Granger_Inventory[[#This Row],[blt_gar]])*Lookups!$B$18</f>
        <v>23254.841280000001</v>
      </c>
      <c r="BO567" s="8">
        <f>Granger_Inventory[[#This Row],[Patio]]*Lookups!$B$19</f>
        <v>21834.668591999998</v>
      </c>
      <c r="BP567" s="8">
        <f>SUM(Granger_Inventory[[#This Row],[Intercept]:[Patio_Value]])*Granger_Inventory[[#This Row],[res_pct]]</f>
        <v>412247.30992599996</v>
      </c>
      <c r="BQ567" s="8">
        <f>Granger_Inventory[[#This Row],[land_value]]</f>
        <v>55039.634650501503</v>
      </c>
      <c r="BR567" s="4">
        <f>_xlfn.IFNA(VLOOKUP(Granger_Inventory[[#This Row],[quality]],Lookups!$A$25:$C$35,3,FALSE),1)</f>
        <v>0.992092799099482</v>
      </c>
      <c r="BS567" s="4">
        <f>_xlfn.IFNA(VLOOKUP(Granger_Inventory[[#This Row],[condition]],Lookups!$A$38:$C$45,3,FALSE),1)</f>
        <v>0.98658583151544277</v>
      </c>
      <c r="BT567" s="4">
        <f>IF(Granger_Inventory[[#This Row],[decade]]="",1,_xlfn.IFNA(VLOOKUP(Granger_Inventory[[#This Row],[decade]],Lookups!$G$28:$I$42,3,FALSE),1))</f>
        <v>1.0159161060824455</v>
      </c>
      <c r="BU567" s="4">
        <f>_xlfn.IFNA(VLOOKUP(Granger_Inventory[[#This Row],[living_area_range]],Lookups!$A$48:$C$57,3,FALSE),1)</f>
        <v>0.99995754169072248</v>
      </c>
      <c r="BV567" s="4">
        <f>AVERAGE(Granger_Inventory[[#This Row],[qual_adj]:[living_range_adj]])</f>
        <v>0.99863806959702317</v>
      </c>
      <c r="BW567" s="8">
        <f>(Granger_Inventory[[#This Row],[sum_land]]-IF(Granger_Inventory[[#This Row],[no_utilities]]=1,12000,0))/IF(Granger_Inventory[[#This Row],[unbuildable]]=1,2,1)</f>
        <v>55039.634650501503</v>
      </c>
      <c r="BX567" s="8">
        <f>Granger_Inventory[[#This Row],[pre_res]]*Granger_Inventory[[#This Row],[overall_adj]]</f>
        <v>411685.85778106633</v>
      </c>
      <c r="BY567">
        <f>IF(ROUND(Granger_Inventory[[#This Row],[adj_land]]*Lookups!$I$45,-2)&lt;Granger_Inventory[[#This Row],[min_land]],Granger_Inventory[[#This Row],[min_land]],ROUND(Granger_Inventory[[#This Row],[adj_land]]*Lookups!$I$45,-2))</f>
        <v>52300</v>
      </c>
      <c r="BZ567">
        <f>ROUND(Granger_Inventory[[#This Row],[detatched_value]]*Lookups!$I$45,-2)</f>
        <v>0</v>
      </c>
      <c r="CA567">
        <f>IF(ROUND(Granger_Inventory[[#This Row],[adj_res]]*Lookups!$I$45,-2)&lt;Granger_Inventory[[#This Row],[min_res]],Granger_Inventory[[#This Row],[min_res]],ROUND(Granger_Inventory[[#This Row],[adj_res]]*Lookups!$I$45,-2))</f>
        <v>391100</v>
      </c>
      <c r="CB567">
        <f>Granger_Inventory[[#This Row],[final_det]]+Granger_Inventory[[#This Row],[final_res]]</f>
        <v>391100</v>
      </c>
      <c r="CC567">
        <f>Granger_Inventory[[#This Row],[final_land]]+Granger_Inventory[[#This Row],[final_imp]]+Granger_Inventory[[#This Row],[crop_value]]</f>
        <v>443400</v>
      </c>
      <c r="CE567" t="str">
        <f t="shared" si="8"/>
        <v>update valuation set market_land =52300, market_bldg=391100, market_total =443400, market_mdno =402, market_date ='9/10/2023' where link_id = (select link_id from parcel where parcel_year = '2024' and parcel_id = '21102231406');</v>
      </c>
    </row>
    <row r="568" spans="1:83" x14ac:dyDescent="0.25">
      <c r="A568">
        <v>21102231407</v>
      </c>
      <c r="B568">
        <v>0.5</v>
      </c>
      <c r="C568" t="s">
        <v>137</v>
      </c>
      <c r="D568" t="s">
        <v>137</v>
      </c>
      <c r="E568" t="s">
        <v>54</v>
      </c>
      <c r="F568" t="s">
        <v>54</v>
      </c>
      <c r="G568">
        <v>3</v>
      </c>
      <c r="H568" t="s">
        <v>55</v>
      </c>
      <c r="I568">
        <v>535700</v>
      </c>
      <c r="J568">
        <v>33500</v>
      </c>
      <c r="K568">
        <v>0.5</v>
      </c>
      <c r="L568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568">
        <v>0</v>
      </c>
      <c r="N568">
        <v>0</v>
      </c>
      <c r="O568">
        <v>0</v>
      </c>
      <c r="P568">
        <v>47108.068500000001</v>
      </c>
      <c r="Q568">
        <v>122298</v>
      </c>
      <c r="R568">
        <f>(Granger_Inventory[[#This Row],[ln_acres]]*Granger_Inventory[[#This Row],[coeff]])+Granger_Inventory[[#This Row],[const]]</f>
        <v>89645.175137600221</v>
      </c>
      <c r="S568" t="s">
        <v>59</v>
      </c>
      <c r="T568">
        <v>1</v>
      </c>
      <c r="U568" t="s">
        <v>61</v>
      </c>
      <c r="V568" t="s">
        <v>70</v>
      </c>
      <c r="W568">
        <v>0</v>
      </c>
      <c r="X568">
        <v>0</v>
      </c>
      <c r="Y568">
        <v>25</v>
      </c>
      <c r="Z568">
        <v>25</v>
      </c>
      <c r="AA568">
        <v>30</v>
      </c>
      <c r="AB568">
        <v>3000</v>
      </c>
      <c r="AC568">
        <v>2976</v>
      </c>
      <c r="AD568">
        <v>1536</v>
      </c>
      <c r="AE568">
        <v>0</v>
      </c>
      <c r="AF568">
        <v>0</v>
      </c>
      <c r="AG568">
        <v>1440</v>
      </c>
      <c r="AH568">
        <v>0</v>
      </c>
      <c r="AI568">
        <v>704</v>
      </c>
      <c r="AJ568">
        <v>0</v>
      </c>
      <c r="AK568">
        <v>0</v>
      </c>
      <c r="AL568">
        <v>280</v>
      </c>
      <c r="AM568">
        <v>760</v>
      </c>
      <c r="AN568">
        <v>76</v>
      </c>
      <c r="AO568">
        <v>0</v>
      </c>
      <c r="AP568">
        <v>13</v>
      </c>
      <c r="AQ568">
        <v>1</v>
      </c>
      <c r="AR568">
        <v>0</v>
      </c>
      <c r="AS568" t="s">
        <v>59</v>
      </c>
      <c r="AT568">
        <v>1</v>
      </c>
      <c r="AU568" t="s">
        <v>60</v>
      </c>
      <c r="AV568" t="s">
        <v>65</v>
      </c>
      <c r="AW568">
        <v>1</v>
      </c>
      <c r="AX568">
        <v>5</v>
      </c>
      <c r="AY568">
        <v>0</v>
      </c>
      <c r="AZ568">
        <v>0</v>
      </c>
      <c r="BA568">
        <v>100</v>
      </c>
      <c r="BB568">
        <v>100</v>
      </c>
      <c r="BC568">
        <v>100</v>
      </c>
      <c r="BD568">
        <v>100</v>
      </c>
      <c r="BE568">
        <v>1</v>
      </c>
      <c r="BF568">
        <v>15000</v>
      </c>
      <c r="BG568">
        <v>1000</v>
      </c>
      <c r="BH568" s="8">
        <f>Granger_Inventory[[#This Row],[land_extract]]*Lookups!$B$3</f>
        <v>53404.391900862691</v>
      </c>
      <c r="BI568" s="8">
        <f>IF(Granger_Inventory[[#This Row],[bldg_style]]="",0,Lookups!$B$2)</f>
        <v>29703.559000000001</v>
      </c>
      <c r="BJ568" s="8">
        <f>_xlfn.IFNA(VLOOKUP(Granger_Inventory[[#This Row],[quality]],Lookups!$H$2:$J$14,3,FALSE),0)</f>
        <v>71767</v>
      </c>
      <c r="BK568" s="8">
        <f>_xlfn.IFNA(VLOOKUP(Granger_Inventory[[#This Row],[condition]],Lookups!$H$17:$J$24,3,FALSE),0)</f>
        <v>80695</v>
      </c>
      <c r="BL568" s="8">
        <f>Granger_Inventory[[#This Row],[Age]]*Lookups!$B$16</f>
        <v>-5183.2775000000001</v>
      </c>
      <c r="BM568" s="8">
        <f>Granger_Inventory[[#This Row],[living_area]]*Lookups!$B$17</f>
        <v>200204.177184</v>
      </c>
      <c r="BN568" s="8">
        <f>(Granger_Inventory[[#This Row],[att_gar]]+Granger_Inventory[[#This Row],[blt_gar]])*Lookups!$B$18</f>
        <v>34107.100544000001</v>
      </c>
      <c r="BO568" s="8">
        <f>Granger_Inventory[[#This Row],[Patio]]*Lookups!$B$19</f>
        <v>41279.472959999999</v>
      </c>
      <c r="BP568" s="8">
        <f>SUM(Granger_Inventory[[#This Row],[Intercept]:[Patio_Value]])*Granger_Inventory[[#This Row],[res_pct]]</f>
        <v>452573.03218799998</v>
      </c>
      <c r="BQ568" s="8">
        <f>Granger_Inventory[[#This Row],[land_value]]</f>
        <v>53404.391900862691</v>
      </c>
      <c r="BR568" s="4">
        <f>_xlfn.IFNA(VLOOKUP(Granger_Inventory[[#This Row],[quality]],Lookups!$A$25:$C$35,3,FALSE),1)</f>
        <v>0.992092799099482</v>
      </c>
      <c r="BS568" s="4">
        <f>_xlfn.IFNA(VLOOKUP(Granger_Inventory[[#This Row],[condition]],Lookups!$A$38:$C$45,3,FALSE),1)</f>
        <v>0.99484195314749324</v>
      </c>
      <c r="BT568" s="4">
        <f>IF(Granger_Inventory[[#This Row],[decade]]="",1,_xlfn.IFNA(VLOOKUP(Granger_Inventory[[#This Row],[decade]],Lookups!$G$28:$I$42,3,FALSE),1))</f>
        <v>1.0539470644652671</v>
      </c>
      <c r="BU568" s="4">
        <f>_xlfn.IFNA(VLOOKUP(Granger_Inventory[[#This Row],[living_area_range]],Lookups!$A$48:$C$57,3,FALSE),1)</f>
        <v>0.99995754169072248</v>
      </c>
      <c r="BV568" s="4">
        <f>AVERAGE(Granger_Inventory[[#This Row],[qual_adj]:[living_range_adj]])</f>
        <v>1.0102098396007413</v>
      </c>
      <c r="BW568" s="8">
        <f>(Granger_Inventory[[#This Row],[sum_land]]-IF(Granger_Inventory[[#This Row],[no_utilities]]=1,12000,0))/IF(Granger_Inventory[[#This Row],[unbuildable]]=1,2,1)</f>
        <v>53404.391900862691</v>
      </c>
      <c r="BX568" s="8">
        <f>Granger_Inventory[[#This Row],[pre_res]]*Granger_Inventory[[#This Row],[overall_adj]]</f>
        <v>457193.73025426059</v>
      </c>
      <c r="BY568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568">
        <f>ROUND(Granger_Inventory[[#This Row],[detatched_value]]*Lookups!$I$45,-2)</f>
        <v>0</v>
      </c>
      <c r="CA568">
        <f>IF(ROUND(Granger_Inventory[[#This Row],[adj_res]]*Lookups!$I$45,-2)&lt;Granger_Inventory[[#This Row],[min_res]],Granger_Inventory[[#This Row],[min_res]],ROUND(Granger_Inventory[[#This Row],[adj_res]]*Lookups!$I$45,-2))</f>
        <v>434300</v>
      </c>
      <c r="CB568">
        <f>Granger_Inventory[[#This Row],[final_det]]+Granger_Inventory[[#This Row],[final_res]]</f>
        <v>434300</v>
      </c>
      <c r="CC568">
        <f>Granger_Inventory[[#This Row],[final_land]]+Granger_Inventory[[#This Row],[final_imp]]+Granger_Inventory[[#This Row],[crop_value]]</f>
        <v>485000</v>
      </c>
      <c r="CE568" t="str">
        <f t="shared" si="8"/>
        <v>update valuation set market_land =50700, market_bldg=434300, market_total =485000, market_mdno =402, market_date ='9/10/2023' where link_id = (select link_id from parcel where parcel_year = '2024' and parcel_id = '21102231407');</v>
      </c>
    </row>
    <row r="569" spans="1:83" x14ac:dyDescent="0.25">
      <c r="A569">
        <v>21102231409</v>
      </c>
      <c r="B569">
        <v>0.21</v>
      </c>
      <c r="C569">
        <v>9285</v>
      </c>
      <c r="D569" t="s">
        <v>137</v>
      </c>
      <c r="E569" t="s">
        <v>54</v>
      </c>
      <c r="F569" t="s">
        <v>54</v>
      </c>
      <c r="G569">
        <v>3</v>
      </c>
      <c r="H569" t="s">
        <v>55</v>
      </c>
      <c r="I569">
        <v>335700</v>
      </c>
      <c r="J569">
        <v>28300</v>
      </c>
      <c r="K569">
        <v>0.21</v>
      </c>
      <c r="L569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569">
        <v>0</v>
      </c>
      <c r="N569">
        <v>0</v>
      </c>
      <c r="O569">
        <v>0</v>
      </c>
      <c r="P569">
        <v>47108.068500000001</v>
      </c>
      <c r="Q569">
        <v>122298</v>
      </c>
      <c r="R569">
        <f>(Granger_Inventory[[#This Row],[ln_acres]]*Granger_Inventory[[#This Row],[coeff]])+Granger_Inventory[[#This Row],[const]]</f>
        <v>48778.898970377239</v>
      </c>
      <c r="S569" t="s">
        <v>59</v>
      </c>
      <c r="T569">
        <v>1</v>
      </c>
      <c r="U569" t="s">
        <v>57</v>
      </c>
      <c r="V569" t="s">
        <v>58</v>
      </c>
      <c r="W569">
        <v>0</v>
      </c>
      <c r="X569">
        <v>0</v>
      </c>
      <c r="Y569">
        <v>5</v>
      </c>
      <c r="Z569">
        <v>5</v>
      </c>
      <c r="AA569">
        <v>10</v>
      </c>
      <c r="AB569">
        <v>2000</v>
      </c>
      <c r="AC569">
        <v>1764</v>
      </c>
      <c r="AD569">
        <v>1764</v>
      </c>
      <c r="AE569">
        <v>0</v>
      </c>
      <c r="AF569">
        <v>0</v>
      </c>
      <c r="AG569">
        <v>0</v>
      </c>
      <c r="AH569">
        <v>0</v>
      </c>
      <c r="AI569">
        <v>484</v>
      </c>
      <c r="AJ569">
        <v>0</v>
      </c>
      <c r="AK569">
        <v>0</v>
      </c>
      <c r="AL569">
        <v>0</v>
      </c>
      <c r="AM569">
        <v>180</v>
      </c>
      <c r="AN569">
        <v>42</v>
      </c>
      <c r="AO569">
        <v>0</v>
      </c>
      <c r="AP569">
        <v>10</v>
      </c>
      <c r="AQ569">
        <v>0</v>
      </c>
      <c r="AR569">
        <v>0</v>
      </c>
      <c r="AS569" t="s">
        <v>59</v>
      </c>
      <c r="AT569">
        <v>1</v>
      </c>
      <c r="AU569" t="s">
        <v>63</v>
      </c>
      <c r="AV569" t="s">
        <v>65</v>
      </c>
      <c r="AW569">
        <v>1</v>
      </c>
      <c r="AX569">
        <v>3</v>
      </c>
      <c r="AY569">
        <v>0</v>
      </c>
      <c r="AZ569">
        <v>0</v>
      </c>
      <c r="BA569">
        <v>100</v>
      </c>
      <c r="BB569">
        <v>100</v>
      </c>
      <c r="BC569">
        <v>100</v>
      </c>
      <c r="BD569">
        <v>100</v>
      </c>
      <c r="BE569">
        <v>1</v>
      </c>
      <c r="BF569">
        <v>15000</v>
      </c>
      <c r="BG569">
        <v>1000</v>
      </c>
      <c r="BH569" s="8">
        <f>Granger_Inventory[[#This Row],[land_extract]]*Lookups!$B$3</f>
        <v>29059.09250674201</v>
      </c>
      <c r="BI569" s="8">
        <f>IF(Granger_Inventory[[#This Row],[bldg_style]]="",0,Lookups!$B$2)</f>
        <v>29703.559000000001</v>
      </c>
      <c r="BJ569" s="8">
        <f>_xlfn.IFNA(VLOOKUP(Granger_Inventory[[#This Row],[quality]],Lookups!$H$2:$J$14,3,FALSE),0)</f>
        <v>56414</v>
      </c>
      <c r="BK569" s="8">
        <f>_xlfn.IFNA(VLOOKUP(Granger_Inventory[[#This Row],[condition]],Lookups!$H$17:$J$24,3,FALSE),0)</f>
        <v>101774</v>
      </c>
      <c r="BL569" s="8">
        <f>Granger_Inventory[[#This Row],[Age]]*Lookups!$B$16</f>
        <v>-1036.6554999999998</v>
      </c>
      <c r="BM569" s="8">
        <f>Granger_Inventory[[#This Row],[living_area]]*Lookups!$B$17</f>
        <v>118669.41147599999</v>
      </c>
      <c r="BN569" s="8">
        <f>(Granger_Inventory[[#This Row],[att_gar]]+Granger_Inventory[[#This Row],[blt_gar]])*Lookups!$B$18</f>
        <v>23448.631624000001</v>
      </c>
      <c r="BO569" s="8">
        <f>Granger_Inventory[[#This Row],[Patio]]*Lookups!$B$19</f>
        <v>9776.7172799999989</v>
      </c>
      <c r="BP569" s="8">
        <f>SUM(Granger_Inventory[[#This Row],[Intercept]:[Patio_Value]])*Granger_Inventory[[#This Row],[res_pct]]</f>
        <v>338749.66388000001</v>
      </c>
      <c r="BQ569" s="8">
        <f>Granger_Inventory[[#This Row],[land_value]]</f>
        <v>29059.09250674201</v>
      </c>
      <c r="BR569" s="4">
        <f>_xlfn.IFNA(VLOOKUP(Granger_Inventory[[#This Row],[quality]],Lookups!$A$25:$C$35,3,FALSE),1)</f>
        <v>0.98791809110152173</v>
      </c>
      <c r="BS569" s="4">
        <f>_xlfn.IFNA(VLOOKUP(Granger_Inventory[[#This Row],[condition]],Lookups!$A$38:$C$45,3,FALSE),1)</f>
        <v>0.99135053432734199</v>
      </c>
      <c r="BT569" s="4">
        <f>IF(Granger_Inventory[[#This Row],[decade]]="",1,_xlfn.IFNA(VLOOKUP(Granger_Inventory[[#This Row],[decade]],Lookups!$G$28:$I$42,3,FALSE),1))</f>
        <v>0.95532362136731586</v>
      </c>
      <c r="BU569" s="4">
        <f>_xlfn.IFNA(VLOOKUP(Granger_Inventory[[#This Row],[living_area_range]],Lookups!$A$48:$C$57,3,FALSE),1)</f>
        <v>0.97860968051050168</v>
      </c>
      <c r="BV569" s="4">
        <f>AVERAGE(Granger_Inventory[[#This Row],[qual_adj]:[living_range_adj]])</f>
        <v>0.97830048182667029</v>
      </c>
      <c r="BW569" s="8">
        <f>(Granger_Inventory[[#This Row],[sum_land]]-IF(Granger_Inventory[[#This Row],[no_utilities]]=1,12000,0))/IF(Granger_Inventory[[#This Row],[unbuildable]]=1,2,1)</f>
        <v>29059.09250674201</v>
      </c>
      <c r="BX569" s="8">
        <f>Granger_Inventory[[#This Row],[pre_res]]*Granger_Inventory[[#This Row],[overall_adj]]</f>
        <v>331398.95939242659</v>
      </c>
      <c r="BY569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569">
        <f>ROUND(Granger_Inventory[[#This Row],[detatched_value]]*Lookups!$I$45,-2)</f>
        <v>0</v>
      </c>
      <c r="CA569">
        <f>IF(ROUND(Granger_Inventory[[#This Row],[adj_res]]*Lookups!$I$45,-2)&lt;Granger_Inventory[[#This Row],[min_res]],Granger_Inventory[[#This Row],[min_res]],ROUND(Granger_Inventory[[#This Row],[adj_res]]*Lookups!$I$45,-2))</f>
        <v>314800</v>
      </c>
      <c r="CB569">
        <f>Granger_Inventory[[#This Row],[final_det]]+Granger_Inventory[[#This Row],[final_res]]</f>
        <v>314800</v>
      </c>
      <c r="CC569">
        <f>Granger_Inventory[[#This Row],[final_land]]+Granger_Inventory[[#This Row],[final_imp]]+Granger_Inventory[[#This Row],[crop_value]]</f>
        <v>342400</v>
      </c>
      <c r="CE569" t="str">
        <f t="shared" si="8"/>
        <v>update valuation set market_land =27600, market_bldg=314800, market_total =342400, market_mdno =402, market_date ='9/10/2023' where link_id = (select link_id from parcel where parcel_year = '2024' and parcel_id = '21102231409');</v>
      </c>
    </row>
    <row r="570" spans="1:83" x14ac:dyDescent="0.25">
      <c r="A570">
        <v>21102231410</v>
      </c>
      <c r="B570">
        <v>0.18</v>
      </c>
      <c r="C570">
        <v>8010</v>
      </c>
      <c r="D570" t="s">
        <v>137</v>
      </c>
      <c r="E570" t="s">
        <v>54</v>
      </c>
      <c r="F570" t="s">
        <v>54</v>
      </c>
      <c r="G570">
        <v>3</v>
      </c>
      <c r="H570" t="s">
        <v>55</v>
      </c>
      <c r="I570">
        <v>400500</v>
      </c>
      <c r="J570">
        <v>27400</v>
      </c>
      <c r="K570">
        <v>0.18</v>
      </c>
      <c r="L570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0">
        <v>0</v>
      </c>
      <c r="N570">
        <v>0</v>
      </c>
      <c r="O570">
        <v>0</v>
      </c>
      <c r="P570">
        <v>47108.068500000001</v>
      </c>
      <c r="Q570">
        <v>122298</v>
      </c>
      <c r="R570">
        <f>(Granger_Inventory[[#This Row],[ln_acres]]*Granger_Inventory[[#This Row],[coeff]])+Granger_Inventory[[#This Row],[const]]</f>
        <v>41517.1581857532</v>
      </c>
      <c r="S570" t="s">
        <v>59</v>
      </c>
      <c r="T570">
        <v>1</v>
      </c>
      <c r="U570" t="s">
        <v>61</v>
      </c>
      <c r="V570" t="s">
        <v>58</v>
      </c>
      <c r="W570">
        <v>0</v>
      </c>
      <c r="X570">
        <v>0</v>
      </c>
      <c r="Y570">
        <v>3</v>
      </c>
      <c r="Z570">
        <v>3</v>
      </c>
      <c r="AA570">
        <v>10</v>
      </c>
      <c r="AB570">
        <v>2500</v>
      </c>
      <c r="AC570">
        <v>2066</v>
      </c>
      <c r="AD570">
        <v>2066</v>
      </c>
      <c r="AE570">
        <v>0</v>
      </c>
      <c r="AF570">
        <v>0</v>
      </c>
      <c r="AG570">
        <v>0</v>
      </c>
      <c r="AH570">
        <v>0</v>
      </c>
      <c r="AI570">
        <v>480</v>
      </c>
      <c r="AJ570">
        <v>0</v>
      </c>
      <c r="AK570">
        <v>0</v>
      </c>
      <c r="AL570">
        <v>0</v>
      </c>
      <c r="AM570">
        <v>0</v>
      </c>
      <c r="AN570">
        <v>476</v>
      </c>
      <c r="AO570">
        <v>0</v>
      </c>
      <c r="AP570">
        <v>11</v>
      </c>
      <c r="AQ570">
        <v>0</v>
      </c>
      <c r="AR570">
        <v>0</v>
      </c>
      <c r="AS570" t="s">
        <v>59</v>
      </c>
      <c r="AT570">
        <v>1</v>
      </c>
      <c r="AU570" t="s">
        <v>63</v>
      </c>
      <c r="AV570" t="s">
        <v>65</v>
      </c>
      <c r="AW570">
        <v>1</v>
      </c>
      <c r="AX570">
        <v>4</v>
      </c>
      <c r="AY570">
        <v>0</v>
      </c>
      <c r="AZ570">
        <v>0</v>
      </c>
      <c r="BA570">
        <v>100</v>
      </c>
      <c r="BB570">
        <v>100</v>
      </c>
      <c r="BC570">
        <v>100</v>
      </c>
      <c r="BD570">
        <v>100</v>
      </c>
      <c r="BE570">
        <v>1</v>
      </c>
      <c r="BF570">
        <v>15000</v>
      </c>
      <c r="BG570">
        <v>1000</v>
      </c>
      <c r="BH570" s="8">
        <f>Granger_Inventory[[#This Row],[land_extract]]*Lookups!$B$3</f>
        <v>24733.049859725303</v>
      </c>
      <c r="BI570" s="8">
        <f>IF(Granger_Inventory[[#This Row],[bldg_style]]="",0,Lookups!$B$2)</f>
        <v>29703.559000000001</v>
      </c>
      <c r="BJ570" s="8">
        <f>_xlfn.IFNA(VLOOKUP(Granger_Inventory[[#This Row],[quality]],Lookups!$H$2:$J$14,3,FALSE),0)</f>
        <v>71767</v>
      </c>
      <c r="BK570" s="8">
        <f>_xlfn.IFNA(VLOOKUP(Granger_Inventory[[#This Row],[condition]],Lookups!$H$17:$J$24,3,FALSE),0)</f>
        <v>101774</v>
      </c>
      <c r="BL570" s="8">
        <f>Granger_Inventory[[#This Row],[Age]]*Lookups!$B$16</f>
        <v>-621.99329999999998</v>
      </c>
      <c r="BM570" s="8">
        <f>Granger_Inventory[[#This Row],[living_area]]*Lookups!$B$17</f>
        <v>138985.829994</v>
      </c>
      <c r="BN570" s="8">
        <f>(Granger_Inventory[[#This Row],[att_gar]]+Granger_Inventory[[#This Row],[blt_gar]])*Lookups!$B$18</f>
        <v>23254.841280000001</v>
      </c>
      <c r="BO570" s="8">
        <f>Granger_Inventory[[#This Row],[Patio]]*Lookups!$B$19</f>
        <v>0</v>
      </c>
      <c r="BP570" s="8">
        <f>SUM(Granger_Inventory[[#This Row],[Intercept]:[Patio_Value]])*Granger_Inventory[[#This Row],[res_pct]]</f>
        <v>364863.236974</v>
      </c>
      <c r="BQ570" s="8">
        <f>Granger_Inventory[[#This Row],[land_value]]</f>
        <v>24733.049859725303</v>
      </c>
      <c r="BR570" s="4">
        <f>_xlfn.IFNA(VLOOKUP(Granger_Inventory[[#This Row],[quality]],Lookups!$A$25:$C$35,3,FALSE),1)</f>
        <v>0.992092799099482</v>
      </c>
      <c r="BS570" s="4">
        <f>_xlfn.IFNA(VLOOKUP(Granger_Inventory[[#This Row],[condition]],Lookups!$A$38:$C$45,3,FALSE),1)</f>
        <v>0.99135053432734199</v>
      </c>
      <c r="BT570" s="4">
        <f>IF(Granger_Inventory[[#This Row],[decade]]="",1,_xlfn.IFNA(VLOOKUP(Granger_Inventory[[#This Row],[decade]],Lookups!$G$28:$I$42,3,FALSE),1))</f>
        <v>0.95532362136731586</v>
      </c>
      <c r="BU570" s="4">
        <f>_xlfn.IFNA(VLOOKUP(Granger_Inventory[[#This Row],[living_area_range]],Lookups!$A$48:$C$57,3,FALSE),1)</f>
        <v>1.0000039906678986</v>
      </c>
      <c r="BV570" s="4">
        <f>AVERAGE(Granger_Inventory[[#This Row],[qual_adj]:[living_range_adj]])</f>
        <v>0.98469273636550958</v>
      </c>
      <c r="BW570" s="8">
        <f>(Granger_Inventory[[#This Row],[sum_land]]-IF(Granger_Inventory[[#This Row],[no_utilities]]=1,12000,0))/IF(Granger_Inventory[[#This Row],[unbuildable]]=1,2,1)</f>
        <v>24733.049859725303</v>
      </c>
      <c r="BX570" s="8">
        <f>Granger_Inventory[[#This Row],[pre_res]]*Granger_Inventory[[#This Row],[overall_adj]]</f>
        <v>359278.17921510543</v>
      </c>
      <c r="BY570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0">
        <f>ROUND(Granger_Inventory[[#This Row],[detatched_value]]*Lookups!$I$45,-2)</f>
        <v>0</v>
      </c>
      <c r="CA570">
        <f>IF(ROUND(Granger_Inventory[[#This Row],[adj_res]]*Lookups!$I$45,-2)&lt;Granger_Inventory[[#This Row],[min_res]],Granger_Inventory[[#This Row],[min_res]],ROUND(Granger_Inventory[[#This Row],[adj_res]]*Lookups!$I$45,-2))</f>
        <v>341300</v>
      </c>
      <c r="CB570">
        <f>Granger_Inventory[[#This Row],[final_det]]+Granger_Inventory[[#This Row],[final_res]]</f>
        <v>341300</v>
      </c>
      <c r="CC570">
        <f>Granger_Inventory[[#This Row],[final_land]]+Granger_Inventory[[#This Row],[final_imp]]+Granger_Inventory[[#This Row],[crop_value]]</f>
        <v>364800</v>
      </c>
      <c r="CE570" t="str">
        <f t="shared" si="8"/>
        <v>update valuation set market_land =23500, market_bldg=341300, market_total =364800, market_mdno =402, market_date ='9/10/2023' where link_id = (select link_id from parcel where parcel_year = '2024' and parcel_id = '21102231410');</v>
      </c>
    </row>
    <row r="571" spans="1:83" x14ac:dyDescent="0.25">
      <c r="A571">
        <v>21102231411</v>
      </c>
      <c r="B571">
        <v>0.17</v>
      </c>
      <c r="C571">
        <v>7375</v>
      </c>
      <c r="D571" t="s">
        <v>137</v>
      </c>
      <c r="E571" t="s">
        <v>54</v>
      </c>
      <c r="F571" t="s">
        <v>54</v>
      </c>
      <c r="G571">
        <v>3</v>
      </c>
      <c r="H571" t="s">
        <v>55</v>
      </c>
      <c r="I571">
        <v>322700</v>
      </c>
      <c r="J571">
        <v>27100</v>
      </c>
      <c r="K571">
        <v>0.17</v>
      </c>
      <c r="L571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571">
        <v>0</v>
      </c>
      <c r="N571">
        <v>0</v>
      </c>
      <c r="O571">
        <v>0</v>
      </c>
      <c r="P571">
        <v>47108.068500000001</v>
      </c>
      <c r="Q571">
        <v>122298</v>
      </c>
      <c r="R571">
        <f>(Granger_Inventory[[#This Row],[ln_acres]]*Granger_Inventory[[#This Row],[coeff]])+Granger_Inventory[[#This Row],[const]]</f>
        <v>38824.535711229546</v>
      </c>
      <c r="S571" t="s">
        <v>59</v>
      </c>
      <c r="T571">
        <v>1</v>
      </c>
      <c r="U571" t="s">
        <v>57</v>
      </c>
      <c r="V571" t="s">
        <v>58</v>
      </c>
      <c r="W571">
        <v>0</v>
      </c>
      <c r="X571">
        <v>0</v>
      </c>
      <c r="Y571">
        <v>3</v>
      </c>
      <c r="Z571">
        <v>3</v>
      </c>
      <c r="AA571">
        <v>10</v>
      </c>
      <c r="AB571">
        <v>2000</v>
      </c>
      <c r="AC571">
        <v>1564</v>
      </c>
      <c r="AD571">
        <v>1564</v>
      </c>
      <c r="AE571">
        <v>0</v>
      </c>
      <c r="AF571">
        <v>0</v>
      </c>
      <c r="AG571">
        <v>0</v>
      </c>
      <c r="AH571">
        <v>0</v>
      </c>
      <c r="AI571">
        <v>560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200</v>
      </c>
      <c r="AP571">
        <v>8</v>
      </c>
      <c r="AQ571">
        <v>0</v>
      </c>
      <c r="AR571">
        <v>0</v>
      </c>
      <c r="AS571" t="s">
        <v>59</v>
      </c>
      <c r="AT571">
        <v>1</v>
      </c>
      <c r="AU571" t="s">
        <v>63</v>
      </c>
      <c r="AV571" t="s">
        <v>65</v>
      </c>
      <c r="AW571">
        <v>1</v>
      </c>
      <c r="AX571">
        <v>3</v>
      </c>
      <c r="AY571">
        <v>0</v>
      </c>
      <c r="AZ571">
        <v>0</v>
      </c>
      <c r="BA571">
        <v>100</v>
      </c>
      <c r="BB571">
        <v>100</v>
      </c>
      <c r="BC571">
        <v>100</v>
      </c>
      <c r="BD571">
        <v>100</v>
      </c>
      <c r="BE571">
        <v>1</v>
      </c>
      <c r="BF571">
        <v>15000</v>
      </c>
      <c r="BG571">
        <v>1000</v>
      </c>
      <c r="BH571" s="8">
        <f>Granger_Inventory[[#This Row],[land_extract]]*Lookups!$B$3</f>
        <v>23128.971718879347</v>
      </c>
      <c r="BI571" s="8">
        <f>IF(Granger_Inventory[[#This Row],[bldg_style]]="",0,Lookups!$B$2)</f>
        <v>29703.559000000001</v>
      </c>
      <c r="BJ571" s="8">
        <f>_xlfn.IFNA(VLOOKUP(Granger_Inventory[[#This Row],[quality]],Lookups!$H$2:$J$14,3,FALSE),0)</f>
        <v>56414</v>
      </c>
      <c r="BK571" s="8">
        <f>_xlfn.IFNA(VLOOKUP(Granger_Inventory[[#This Row],[condition]],Lookups!$H$17:$J$24,3,FALSE),0)</f>
        <v>101774</v>
      </c>
      <c r="BL571" s="8">
        <f>Granger_Inventory[[#This Row],[Age]]*Lookups!$B$16</f>
        <v>-621.99329999999998</v>
      </c>
      <c r="BM571" s="8">
        <f>Granger_Inventory[[#This Row],[living_area]]*Lookups!$B$17</f>
        <v>105214.82967599999</v>
      </c>
      <c r="BN571" s="8">
        <f>(Granger_Inventory[[#This Row],[att_gar]]+Granger_Inventory[[#This Row],[blt_gar]])*Lookups!$B$18</f>
        <v>27130.648160000001</v>
      </c>
      <c r="BO571" s="8">
        <f>Granger_Inventory[[#This Row],[Patio]]*Lookups!$B$19</f>
        <v>0</v>
      </c>
      <c r="BP571" s="8">
        <f>SUM(Granger_Inventory[[#This Row],[Intercept]:[Patio_Value]])*Granger_Inventory[[#This Row],[res_pct]]</f>
        <v>319615.04353599995</v>
      </c>
      <c r="BQ571" s="8">
        <f>Granger_Inventory[[#This Row],[land_value]]</f>
        <v>23128.971718879347</v>
      </c>
      <c r="BR571" s="4">
        <f>_xlfn.IFNA(VLOOKUP(Granger_Inventory[[#This Row],[quality]],Lookups!$A$25:$C$35,3,FALSE),1)</f>
        <v>0.98791809110152173</v>
      </c>
      <c r="BS571" s="4">
        <f>_xlfn.IFNA(VLOOKUP(Granger_Inventory[[#This Row],[condition]],Lookups!$A$38:$C$45,3,FALSE),1)</f>
        <v>0.99135053432734199</v>
      </c>
      <c r="BT571" s="4">
        <f>IF(Granger_Inventory[[#This Row],[decade]]="",1,_xlfn.IFNA(VLOOKUP(Granger_Inventory[[#This Row],[decade]],Lookups!$G$28:$I$42,3,FALSE),1))</f>
        <v>0.95532362136731586</v>
      </c>
      <c r="BU571" s="4">
        <f>_xlfn.IFNA(VLOOKUP(Granger_Inventory[[#This Row],[living_area_range]],Lookups!$A$48:$C$57,3,FALSE),1)</f>
        <v>0.97860968051050168</v>
      </c>
      <c r="BV571" s="4">
        <f>AVERAGE(Granger_Inventory[[#This Row],[qual_adj]:[living_range_adj]])</f>
        <v>0.97830048182667029</v>
      </c>
      <c r="BW571" s="8">
        <f>(Granger_Inventory[[#This Row],[sum_land]]-IF(Granger_Inventory[[#This Row],[no_utilities]]=1,12000,0))/IF(Granger_Inventory[[#This Row],[unbuildable]]=1,2,1)</f>
        <v>23128.971718879347</v>
      </c>
      <c r="BX571" s="8">
        <f>Granger_Inventory[[#This Row],[pre_res]]*Granger_Inventory[[#This Row],[overall_adj]]</f>
        <v>312679.55109032098</v>
      </c>
      <c r="BY571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571">
        <f>ROUND(Granger_Inventory[[#This Row],[detatched_value]]*Lookups!$I$45,-2)</f>
        <v>0</v>
      </c>
      <c r="CA571">
        <f>IF(ROUND(Granger_Inventory[[#This Row],[adj_res]]*Lookups!$I$45,-2)&lt;Granger_Inventory[[#This Row],[min_res]],Granger_Inventory[[#This Row],[min_res]],ROUND(Granger_Inventory[[#This Row],[adj_res]]*Lookups!$I$45,-2))</f>
        <v>297000</v>
      </c>
      <c r="CB571">
        <f>Granger_Inventory[[#This Row],[final_det]]+Granger_Inventory[[#This Row],[final_res]]</f>
        <v>297000</v>
      </c>
      <c r="CC571">
        <f>Granger_Inventory[[#This Row],[final_land]]+Granger_Inventory[[#This Row],[final_imp]]+Granger_Inventory[[#This Row],[crop_value]]</f>
        <v>319000</v>
      </c>
      <c r="CE571" t="str">
        <f t="shared" si="8"/>
        <v>update valuation set market_land =22000, market_bldg=297000, market_total =319000, market_mdno =402, market_date ='9/10/2023' where link_id = (select link_id from parcel where parcel_year = '2024' and parcel_id = '21102231411');</v>
      </c>
    </row>
    <row r="572" spans="1:83" x14ac:dyDescent="0.25">
      <c r="A572">
        <v>21102231412</v>
      </c>
      <c r="B572">
        <v>0.19</v>
      </c>
      <c r="C572">
        <v>8435</v>
      </c>
      <c r="D572" t="s">
        <v>137</v>
      </c>
      <c r="E572" t="s">
        <v>54</v>
      </c>
      <c r="F572" t="s">
        <v>54</v>
      </c>
      <c r="G572">
        <v>3</v>
      </c>
      <c r="H572" t="s">
        <v>55</v>
      </c>
      <c r="I572">
        <v>0</v>
      </c>
      <c r="J572">
        <v>27200</v>
      </c>
      <c r="K572">
        <v>0.19</v>
      </c>
      <c r="L572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572">
        <v>0</v>
      </c>
      <c r="N572">
        <v>0</v>
      </c>
      <c r="O572">
        <v>0</v>
      </c>
      <c r="P572">
        <v>47108.068500000001</v>
      </c>
      <c r="Q572">
        <v>122298</v>
      </c>
      <c r="R572">
        <f>(Granger_Inventory[[#This Row],[ln_acres]]*Granger_Inventory[[#This Row],[coeff]])+Granger_Inventory[[#This Row],[const]]</f>
        <v>44064.160548957996</v>
      </c>
      <c r="S572" t="s">
        <v>62</v>
      </c>
      <c r="T572">
        <v>1</v>
      </c>
      <c r="U572" t="s">
        <v>61</v>
      </c>
      <c r="V572" t="s">
        <v>58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2000</v>
      </c>
      <c r="AC572">
        <v>1566</v>
      </c>
      <c r="AD572">
        <v>1566</v>
      </c>
      <c r="AE572">
        <v>0</v>
      </c>
      <c r="AF572">
        <v>0</v>
      </c>
      <c r="AG572">
        <v>0</v>
      </c>
      <c r="AH572">
        <v>0</v>
      </c>
      <c r="AI572">
        <v>720</v>
      </c>
      <c r="AJ572">
        <v>0</v>
      </c>
      <c r="AK572">
        <v>0</v>
      </c>
      <c r="AL572">
        <v>0</v>
      </c>
      <c r="AM572">
        <v>0</v>
      </c>
      <c r="AN572">
        <v>192</v>
      </c>
      <c r="AO572">
        <v>0</v>
      </c>
      <c r="AP572">
        <v>11</v>
      </c>
      <c r="AQ572">
        <v>0</v>
      </c>
      <c r="AR572">
        <v>0</v>
      </c>
      <c r="AS572" t="s">
        <v>59</v>
      </c>
      <c r="AT572">
        <v>1</v>
      </c>
      <c r="AU572" t="s">
        <v>63</v>
      </c>
      <c r="AV572" t="s">
        <v>65</v>
      </c>
      <c r="AW572">
        <v>1</v>
      </c>
      <c r="AX572">
        <v>3</v>
      </c>
      <c r="AY572">
        <v>0</v>
      </c>
      <c r="AZ572">
        <v>0</v>
      </c>
      <c r="BA572">
        <v>100</v>
      </c>
      <c r="BB572">
        <v>100</v>
      </c>
      <c r="BC572">
        <v>100</v>
      </c>
      <c r="BD572">
        <v>20</v>
      </c>
      <c r="BE572">
        <v>0.2</v>
      </c>
      <c r="BF572">
        <v>15000</v>
      </c>
      <c r="BG572">
        <v>1000</v>
      </c>
      <c r="BH572" s="8">
        <f>Granger_Inventory[[#This Row],[land_extract]]*Lookups!$B$3</f>
        <v>26250.377615159185</v>
      </c>
      <c r="BI572" s="8">
        <f>IF(Granger_Inventory[[#This Row],[bldg_style]]="",0,Lookups!$B$2)</f>
        <v>29703.559000000001</v>
      </c>
      <c r="BJ572" s="8">
        <f>_xlfn.IFNA(VLOOKUP(Granger_Inventory[[#This Row],[quality]],Lookups!$H$2:$J$14,3,FALSE),0)</f>
        <v>71767</v>
      </c>
      <c r="BK572" s="8">
        <f>_xlfn.IFNA(VLOOKUP(Granger_Inventory[[#This Row],[condition]],Lookups!$H$17:$J$24,3,FALSE),0)</f>
        <v>101774</v>
      </c>
      <c r="BL572" s="8">
        <f>Granger_Inventory[[#This Row],[Age]]*Lookups!$B$16</f>
        <v>0</v>
      </c>
      <c r="BM572" s="8">
        <f>Granger_Inventory[[#This Row],[living_area]]*Lookups!$B$17</f>
        <v>105349.37549399999</v>
      </c>
      <c r="BN572" s="8">
        <f>(Granger_Inventory[[#This Row],[att_gar]]+Granger_Inventory[[#This Row],[blt_gar]])*Lookups!$B$18</f>
        <v>34882.261920000004</v>
      </c>
      <c r="BO572" s="8">
        <f>Granger_Inventory[[#This Row],[Patio]]*Lookups!$B$19</f>
        <v>0</v>
      </c>
      <c r="BP572" s="8">
        <f>SUM(Granger_Inventory[[#This Row],[Intercept]:[Patio_Value]])*Granger_Inventory[[#This Row],[res_pct]]</f>
        <v>68695.239282800001</v>
      </c>
      <c r="BQ572" s="8">
        <f>Granger_Inventory[[#This Row],[land_value]]</f>
        <v>26250.377615159185</v>
      </c>
      <c r="BR572" s="4">
        <f>_xlfn.IFNA(VLOOKUP(Granger_Inventory[[#This Row],[quality]],Lookups!$A$25:$C$35,3,FALSE),1)</f>
        <v>0.992092799099482</v>
      </c>
      <c r="BS572" s="4">
        <f>_xlfn.IFNA(VLOOKUP(Granger_Inventory[[#This Row],[condition]],Lookups!$A$38:$C$45,3,FALSE),1)</f>
        <v>0.99135053432734199</v>
      </c>
      <c r="BT572" s="4">
        <f>IF(Granger_Inventory[[#This Row],[decade]]="",1,_xlfn.IFNA(VLOOKUP(Granger_Inventory[[#This Row],[decade]],Lookups!$G$28:$I$42,3,FALSE),1))</f>
        <v>0.99951026660104636</v>
      </c>
      <c r="BU572" s="4">
        <f>_xlfn.IFNA(VLOOKUP(Granger_Inventory[[#This Row],[living_area_range]],Lookups!$A$48:$C$57,3,FALSE),1)</f>
        <v>0.97860968051050168</v>
      </c>
      <c r="BV572" s="4">
        <f>AVERAGE(Granger_Inventory[[#This Row],[qual_adj]:[living_range_adj]])</f>
        <v>0.99039082013459301</v>
      </c>
      <c r="BW572" s="8">
        <f>(Granger_Inventory[[#This Row],[sum_land]]-IF(Granger_Inventory[[#This Row],[no_utilities]]=1,12000,0))/IF(Granger_Inventory[[#This Row],[unbuildable]]=1,2,1)</f>
        <v>26250.377615159185</v>
      </c>
      <c r="BX572" s="8">
        <f>Granger_Inventory[[#This Row],[pre_res]]*Granger_Inventory[[#This Row],[overall_adj]]</f>
        <v>68035.134372634406</v>
      </c>
      <c r="BY572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572">
        <f>ROUND(Granger_Inventory[[#This Row],[detatched_value]]*Lookups!$I$45,-2)</f>
        <v>0</v>
      </c>
      <c r="CA572">
        <f>IF(ROUND(Granger_Inventory[[#This Row],[adj_res]]*Lookups!$I$45,-2)&lt;Granger_Inventory[[#This Row],[min_res]],Granger_Inventory[[#This Row],[min_res]],ROUND(Granger_Inventory[[#This Row],[adj_res]]*Lookups!$I$45,-2))</f>
        <v>64600</v>
      </c>
      <c r="CB572">
        <f>Granger_Inventory[[#This Row],[final_det]]+Granger_Inventory[[#This Row],[final_res]]</f>
        <v>64600</v>
      </c>
      <c r="CC572">
        <f>Granger_Inventory[[#This Row],[final_land]]+Granger_Inventory[[#This Row],[final_imp]]+Granger_Inventory[[#This Row],[crop_value]]</f>
        <v>89500</v>
      </c>
      <c r="CE572" t="str">
        <f t="shared" si="8"/>
        <v>update valuation set market_land =24900, market_bldg=64600, market_total =89500, market_mdno =402, market_date ='9/10/2023' where link_id = (select link_id from parcel where parcel_year = '2024' and parcel_id = '21102231412');</v>
      </c>
    </row>
    <row r="573" spans="1:83" x14ac:dyDescent="0.25">
      <c r="A573">
        <v>21102231413</v>
      </c>
      <c r="B573">
        <v>0.18</v>
      </c>
      <c r="C573">
        <v>7982</v>
      </c>
      <c r="D573" t="s">
        <v>137</v>
      </c>
      <c r="E573" t="s">
        <v>54</v>
      </c>
      <c r="F573" t="s">
        <v>54</v>
      </c>
      <c r="G573">
        <v>3</v>
      </c>
      <c r="H573" t="s">
        <v>55</v>
      </c>
      <c r="I573">
        <v>342100</v>
      </c>
      <c r="J573">
        <v>27400</v>
      </c>
      <c r="K573">
        <v>0.18</v>
      </c>
      <c r="L573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3">
        <v>0</v>
      </c>
      <c r="N573">
        <v>0</v>
      </c>
      <c r="O573">
        <v>0</v>
      </c>
      <c r="P573">
        <v>47108.068500000001</v>
      </c>
      <c r="Q573">
        <v>122298</v>
      </c>
      <c r="R573">
        <f>(Granger_Inventory[[#This Row],[ln_acres]]*Granger_Inventory[[#This Row],[coeff]])+Granger_Inventory[[#This Row],[const]]</f>
        <v>41517.1581857532</v>
      </c>
      <c r="S573" t="s">
        <v>59</v>
      </c>
      <c r="T573">
        <v>1</v>
      </c>
      <c r="U573" t="s">
        <v>57</v>
      </c>
      <c r="V573" t="s">
        <v>58</v>
      </c>
      <c r="W573">
        <v>0</v>
      </c>
      <c r="X573">
        <v>0</v>
      </c>
      <c r="Y573">
        <v>5</v>
      </c>
      <c r="Z573">
        <v>5</v>
      </c>
      <c r="AA573">
        <v>10</v>
      </c>
      <c r="AB573">
        <v>2000</v>
      </c>
      <c r="AC573">
        <v>1880</v>
      </c>
      <c r="AD573">
        <v>1880</v>
      </c>
      <c r="AE573">
        <v>0</v>
      </c>
      <c r="AF573">
        <v>0</v>
      </c>
      <c r="AG573">
        <v>0</v>
      </c>
      <c r="AH573">
        <v>0</v>
      </c>
      <c r="AI573">
        <v>484</v>
      </c>
      <c r="AJ573">
        <v>0</v>
      </c>
      <c r="AK573">
        <v>0</v>
      </c>
      <c r="AL573">
        <v>0</v>
      </c>
      <c r="AM573">
        <v>42</v>
      </c>
      <c r="AN573">
        <v>42</v>
      </c>
      <c r="AO573">
        <v>84</v>
      </c>
      <c r="AP573">
        <v>9</v>
      </c>
      <c r="AQ573">
        <v>0</v>
      </c>
      <c r="AR573">
        <v>0</v>
      </c>
      <c r="AS573" t="s">
        <v>59</v>
      </c>
      <c r="AT573">
        <v>1</v>
      </c>
      <c r="AU573" t="s">
        <v>63</v>
      </c>
      <c r="AV573" t="s">
        <v>65</v>
      </c>
      <c r="AW573">
        <v>1</v>
      </c>
      <c r="AX573">
        <v>3</v>
      </c>
      <c r="AY573">
        <v>0</v>
      </c>
      <c r="AZ573">
        <v>0</v>
      </c>
      <c r="BA573">
        <v>100</v>
      </c>
      <c r="BB573">
        <v>100</v>
      </c>
      <c r="BC573">
        <v>100</v>
      </c>
      <c r="BD573">
        <v>100</v>
      </c>
      <c r="BE573">
        <v>1</v>
      </c>
      <c r="BF573">
        <v>15000</v>
      </c>
      <c r="BG573">
        <v>1000</v>
      </c>
      <c r="BH573" s="8">
        <f>Granger_Inventory[[#This Row],[land_extract]]*Lookups!$B$3</f>
        <v>24733.049859725303</v>
      </c>
      <c r="BI573" s="8">
        <f>IF(Granger_Inventory[[#This Row],[bldg_style]]="",0,Lookups!$B$2)</f>
        <v>29703.559000000001</v>
      </c>
      <c r="BJ573" s="8">
        <f>_xlfn.IFNA(VLOOKUP(Granger_Inventory[[#This Row],[quality]],Lookups!$H$2:$J$14,3,FALSE),0)</f>
        <v>56414</v>
      </c>
      <c r="BK573" s="8">
        <f>_xlfn.IFNA(VLOOKUP(Granger_Inventory[[#This Row],[condition]],Lookups!$H$17:$J$24,3,FALSE),0)</f>
        <v>101774</v>
      </c>
      <c r="BL573" s="8">
        <f>Granger_Inventory[[#This Row],[Age]]*Lookups!$B$16</f>
        <v>-1036.6554999999998</v>
      </c>
      <c r="BM573" s="8">
        <f>Granger_Inventory[[#This Row],[living_area]]*Lookups!$B$17</f>
        <v>126473.06891999999</v>
      </c>
      <c r="BN573" s="8">
        <f>(Granger_Inventory[[#This Row],[att_gar]]+Granger_Inventory[[#This Row],[blt_gar]])*Lookups!$B$18</f>
        <v>23448.631624000001</v>
      </c>
      <c r="BO573" s="8">
        <f>Granger_Inventory[[#This Row],[Patio]]*Lookups!$B$19</f>
        <v>2281.2340319999998</v>
      </c>
      <c r="BP573" s="8">
        <f>SUM(Granger_Inventory[[#This Row],[Intercept]:[Patio_Value]])*Granger_Inventory[[#This Row],[res_pct]]</f>
        <v>339057.83807600004</v>
      </c>
      <c r="BQ573" s="8">
        <f>Granger_Inventory[[#This Row],[land_value]]</f>
        <v>24733.049859725303</v>
      </c>
      <c r="BR573" s="4">
        <f>_xlfn.IFNA(VLOOKUP(Granger_Inventory[[#This Row],[quality]],Lookups!$A$25:$C$35,3,FALSE),1)</f>
        <v>0.98791809110152173</v>
      </c>
      <c r="BS573" s="4">
        <f>_xlfn.IFNA(VLOOKUP(Granger_Inventory[[#This Row],[condition]],Lookups!$A$38:$C$45,3,FALSE),1)</f>
        <v>0.99135053432734199</v>
      </c>
      <c r="BT573" s="4">
        <f>IF(Granger_Inventory[[#This Row],[decade]]="",1,_xlfn.IFNA(VLOOKUP(Granger_Inventory[[#This Row],[decade]],Lookups!$G$28:$I$42,3,FALSE),1))</f>
        <v>0.95532362136731586</v>
      </c>
      <c r="BU573" s="4">
        <f>_xlfn.IFNA(VLOOKUP(Granger_Inventory[[#This Row],[living_area_range]],Lookups!$A$48:$C$57,3,FALSE),1)</f>
        <v>0.97860968051050168</v>
      </c>
      <c r="BV573" s="4">
        <f>AVERAGE(Granger_Inventory[[#This Row],[qual_adj]:[living_range_adj]])</f>
        <v>0.97830048182667029</v>
      </c>
      <c r="BW573" s="8">
        <f>(Granger_Inventory[[#This Row],[sum_land]]-IF(Granger_Inventory[[#This Row],[no_utilities]]=1,12000,0))/IF(Granger_Inventory[[#This Row],[unbuildable]]=1,2,1)</f>
        <v>24733.049859725303</v>
      </c>
      <c r="BX573" s="8">
        <f>Granger_Inventory[[#This Row],[pre_res]]*Granger_Inventory[[#This Row],[overall_adj]]</f>
        <v>331700.44635685999</v>
      </c>
      <c r="BY573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3">
        <f>ROUND(Granger_Inventory[[#This Row],[detatched_value]]*Lookups!$I$45,-2)</f>
        <v>0</v>
      </c>
      <c r="CA573">
        <f>IF(ROUND(Granger_Inventory[[#This Row],[adj_res]]*Lookups!$I$45,-2)&lt;Granger_Inventory[[#This Row],[min_res]],Granger_Inventory[[#This Row],[min_res]],ROUND(Granger_Inventory[[#This Row],[adj_res]]*Lookups!$I$45,-2))</f>
        <v>315100</v>
      </c>
      <c r="CB573">
        <f>Granger_Inventory[[#This Row],[final_det]]+Granger_Inventory[[#This Row],[final_res]]</f>
        <v>315100</v>
      </c>
      <c r="CC573">
        <f>Granger_Inventory[[#This Row],[final_land]]+Granger_Inventory[[#This Row],[final_imp]]+Granger_Inventory[[#This Row],[crop_value]]</f>
        <v>338600</v>
      </c>
      <c r="CE573" t="str">
        <f t="shared" si="8"/>
        <v>update valuation set market_land =23500, market_bldg=315100, market_total =338600, market_mdno =402, market_date ='9/10/2023' where link_id = (select link_id from parcel where parcel_year = '2024' and parcel_id = '21102231413');</v>
      </c>
    </row>
    <row r="574" spans="1:83" x14ac:dyDescent="0.25">
      <c r="A574">
        <v>21102231414</v>
      </c>
      <c r="B574">
        <v>0.19</v>
      </c>
      <c r="C574">
        <v>8098</v>
      </c>
      <c r="D574" t="s">
        <v>137</v>
      </c>
      <c r="E574" t="s">
        <v>54</v>
      </c>
      <c r="F574" t="s">
        <v>54</v>
      </c>
      <c r="G574">
        <v>3</v>
      </c>
      <c r="H574" t="s">
        <v>55</v>
      </c>
      <c r="I574">
        <v>0</v>
      </c>
      <c r="J574">
        <v>27200</v>
      </c>
      <c r="K574">
        <v>0.19</v>
      </c>
      <c r="L574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574">
        <v>0</v>
      </c>
      <c r="N574">
        <v>0</v>
      </c>
      <c r="O574">
        <v>0</v>
      </c>
      <c r="P574">
        <v>47108.068500000001</v>
      </c>
      <c r="Q574">
        <v>122298</v>
      </c>
      <c r="R574">
        <f>(Granger_Inventory[[#This Row],[ln_acres]]*Granger_Inventory[[#This Row],[coeff]])+Granger_Inventory[[#This Row],[const]]</f>
        <v>44064.160548957996</v>
      </c>
      <c r="S574" t="s">
        <v>62</v>
      </c>
      <c r="T574">
        <v>1</v>
      </c>
      <c r="U574" t="s">
        <v>61</v>
      </c>
      <c r="V574" t="s">
        <v>58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2000</v>
      </c>
      <c r="AC574">
        <v>1780</v>
      </c>
      <c r="AD574">
        <v>1780</v>
      </c>
      <c r="AE574">
        <v>0</v>
      </c>
      <c r="AF574">
        <v>0</v>
      </c>
      <c r="AG574">
        <v>0</v>
      </c>
      <c r="AH574">
        <v>0</v>
      </c>
      <c r="AI574">
        <v>600</v>
      </c>
      <c r="AJ574">
        <v>0</v>
      </c>
      <c r="AK574">
        <v>0</v>
      </c>
      <c r="AL574">
        <v>0</v>
      </c>
      <c r="AM574">
        <v>0</v>
      </c>
      <c r="AN574">
        <v>232</v>
      </c>
      <c r="AO574">
        <v>0</v>
      </c>
      <c r="AP574">
        <v>11</v>
      </c>
      <c r="AQ574">
        <v>0</v>
      </c>
      <c r="AR574">
        <v>0</v>
      </c>
      <c r="AS574" t="s">
        <v>59</v>
      </c>
      <c r="AT574">
        <v>1</v>
      </c>
      <c r="AU574" t="s">
        <v>63</v>
      </c>
      <c r="AV574" t="s">
        <v>65</v>
      </c>
      <c r="AW574">
        <v>1</v>
      </c>
      <c r="AX574">
        <v>3</v>
      </c>
      <c r="AY574">
        <v>0</v>
      </c>
      <c r="AZ574">
        <v>0</v>
      </c>
      <c r="BA574">
        <v>100</v>
      </c>
      <c r="BB574">
        <v>100</v>
      </c>
      <c r="BC574">
        <v>100</v>
      </c>
      <c r="BD574">
        <v>20</v>
      </c>
      <c r="BE574">
        <v>0.2</v>
      </c>
      <c r="BF574">
        <v>15000</v>
      </c>
      <c r="BG574">
        <v>1000</v>
      </c>
      <c r="BH574" s="8">
        <f>Granger_Inventory[[#This Row],[land_extract]]*Lookups!$B$3</f>
        <v>26250.377615159185</v>
      </c>
      <c r="BI574" s="8">
        <f>IF(Granger_Inventory[[#This Row],[bldg_style]]="",0,Lookups!$B$2)</f>
        <v>29703.559000000001</v>
      </c>
      <c r="BJ574" s="8">
        <f>_xlfn.IFNA(VLOOKUP(Granger_Inventory[[#This Row],[quality]],Lookups!$H$2:$J$14,3,FALSE),0)</f>
        <v>71767</v>
      </c>
      <c r="BK574" s="8">
        <f>_xlfn.IFNA(VLOOKUP(Granger_Inventory[[#This Row],[condition]],Lookups!$H$17:$J$24,3,FALSE),0)</f>
        <v>101774</v>
      </c>
      <c r="BL574" s="8">
        <f>Granger_Inventory[[#This Row],[Age]]*Lookups!$B$16</f>
        <v>0</v>
      </c>
      <c r="BM574" s="8">
        <f>Granger_Inventory[[#This Row],[living_area]]*Lookups!$B$17</f>
        <v>119745.77802</v>
      </c>
      <c r="BN574" s="8">
        <f>(Granger_Inventory[[#This Row],[att_gar]]+Granger_Inventory[[#This Row],[blt_gar]])*Lookups!$B$18</f>
        <v>29068.551599999999</v>
      </c>
      <c r="BO574" s="8">
        <f>Granger_Inventory[[#This Row],[Patio]]*Lookups!$B$19</f>
        <v>0</v>
      </c>
      <c r="BP574" s="8">
        <f>SUM(Granger_Inventory[[#This Row],[Intercept]:[Patio_Value]])*Granger_Inventory[[#This Row],[res_pct]]</f>
        <v>70411.777724</v>
      </c>
      <c r="BQ574" s="8">
        <f>Granger_Inventory[[#This Row],[land_value]]</f>
        <v>26250.377615159185</v>
      </c>
      <c r="BR574" s="4">
        <f>_xlfn.IFNA(VLOOKUP(Granger_Inventory[[#This Row],[quality]],Lookups!$A$25:$C$35,3,FALSE),1)</f>
        <v>0.992092799099482</v>
      </c>
      <c r="BS574" s="4">
        <f>_xlfn.IFNA(VLOOKUP(Granger_Inventory[[#This Row],[condition]],Lookups!$A$38:$C$45,3,FALSE),1)</f>
        <v>0.99135053432734199</v>
      </c>
      <c r="BT574" s="4">
        <f>IF(Granger_Inventory[[#This Row],[decade]]="",1,_xlfn.IFNA(VLOOKUP(Granger_Inventory[[#This Row],[decade]],Lookups!$G$28:$I$42,3,FALSE),1))</f>
        <v>0.99951026660104636</v>
      </c>
      <c r="BU574" s="4">
        <f>_xlfn.IFNA(VLOOKUP(Granger_Inventory[[#This Row],[living_area_range]],Lookups!$A$48:$C$57,3,FALSE),1)</f>
        <v>0.97860968051050168</v>
      </c>
      <c r="BV574" s="4">
        <f>AVERAGE(Granger_Inventory[[#This Row],[qual_adj]:[living_range_adj]])</f>
        <v>0.99039082013459301</v>
      </c>
      <c r="BW574" s="8">
        <f>(Granger_Inventory[[#This Row],[sum_land]]-IF(Granger_Inventory[[#This Row],[no_utilities]]=1,12000,0))/IF(Granger_Inventory[[#This Row],[unbuildable]]=1,2,1)</f>
        <v>26250.377615159185</v>
      </c>
      <c r="BX574" s="8">
        <f>Granger_Inventory[[#This Row],[pre_res]]*Granger_Inventory[[#This Row],[overall_adj]]</f>
        <v>69735.178287207033</v>
      </c>
      <c r="BY574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574">
        <f>ROUND(Granger_Inventory[[#This Row],[detatched_value]]*Lookups!$I$45,-2)</f>
        <v>0</v>
      </c>
      <c r="CA574">
        <f>IF(ROUND(Granger_Inventory[[#This Row],[adj_res]]*Lookups!$I$45,-2)&lt;Granger_Inventory[[#This Row],[min_res]],Granger_Inventory[[#This Row],[min_res]],ROUND(Granger_Inventory[[#This Row],[adj_res]]*Lookups!$I$45,-2))</f>
        <v>66200</v>
      </c>
      <c r="CB574">
        <f>Granger_Inventory[[#This Row],[final_det]]+Granger_Inventory[[#This Row],[final_res]]</f>
        <v>66200</v>
      </c>
      <c r="CC574">
        <f>Granger_Inventory[[#This Row],[final_land]]+Granger_Inventory[[#This Row],[final_imp]]+Granger_Inventory[[#This Row],[crop_value]]</f>
        <v>91100</v>
      </c>
      <c r="CE574" t="str">
        <f t="shared" si="8"/>
        <v>update valuation set market_land =24900, market_bldg=66200, market_total =91100, market_mdno =402, market_date ='9/10/2023' where link_id = (select link_id from parcel where parcel_year = '2024' and parcel_id = '21102231414');</v>
      </c>
    </row>
    <row r="575" spans="1:83" x14ac:dyDescent="0.25">
      <c r="A575">
        <v>21102231415</v>
      </c>
      <c r="B575">
        <v>0.18</v>
      </c>
      <c r="C575">
        <v>7879</v>
      </c>
      <c r="D575" t="s">
        <v>137</v>
      </c>
      <c r="E575" t="s">
        <v>54</v>
      </c>
      <c r="F575" t="s">
        <v>54</v>
      </c>
      <c r="G575">
        <v>3</v>
      </c>
      <c r="H575" t="s">
        <v>55</v>
      </c>
      <c r="I575">
        <v>349600</v>
      </c>
      <c r="J575">
        <v>27400</v>
      </c>
      <c r="K575">
        <v>0.18</v>
      </c>
      <c r="L575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5">
        <v>0</v>
      </c>
      <c r="N575">
        <v>0</v>
      </c>
      <c r="O575">
        <v>0</v>
      </c>
      <c r="P575">
        <v>47108.068500000001</v>
      </c>
      <c r="Q575">
        <v>122298</v>
      </c>
      <c r="R575">
        <f>(Granger_Inventory[[#This Row],[ln_acres]]*Granger_Inventory[[#This Row],[coeff]])+Granger_Inventory[[#This Row],[const]]</f>
        <v>41517.1581857532</v>
      </c>
      <c r="S575" t="s">
        <v>59</v>
      </c>
      <c r="T575">
        <v>1</v>
      </c>
      <c r="U575" t="s">
        <v>61</v>
      </c>
      <c r="V575" t="s">
        <v>58</v>
      </c>
      <c r="W575">
        <v>0</v>
      </c>
      <c r="X575">
        <v>0</v>
      </c>
      <c r="Y575">
        <v>3</v>
      </c>
      <c r="Z575">
        <v>3</v>
      </c>
      <c r="AA575">
        <v>10</v>
      </c>
      <c r="AB575">
        <v>2000</v>
      </c>
      <c r="AC575">
        <v>1695</v>
      </c>
      <c r="AD575">
        <v>1695</v>
      </c>
      <c r="AE575">
        <v>0</v>
      </c>
      <c r="AF575">
        <v>0</v>
      </c>
      <c r="AG575">
        <v>0</v>
      </c>
      <c r="AH575">
        <v>0</v>
      </c>
      <c r="AI575">
        <v>552</v>
      </c>
      <c r="AJ575">
        <v>0</v>
      </c>
      <c r="AK575">
        <v>0</v>
      </c>
      <c r="AL575">
        <v>0</v>
      </c>
      <c r="AM575">
        <v>0</v>
      </c>
      <c r="AN575">
        <v>98</v>
      </c>
      <c r="AO575">
        <v>0</v>
      </c>
      <c r="AP575">
        <v>9</v>
      </c>
      <c r="AQ575">
        <v>0</v>
      </c>
      <c r="AR575">
        <v>0</v>
      </c>
      <c r="AS575" t="s">
        <v>59</v>
      </c>
      <c r="AT575">
        <v>1</v>
      </c>
      <c r="AU575" t="s">
        <v>63</v>
      </c>
      <c r="AV575" t="s">
        <v>65</v>
      </c>
      <c r="AW575">
        <v>1</v>
      </c>
      <c r="AX575">
        <v>3</v>
      </c>
      <c r="AY575">
        <v>0</v>
      </c>
      <c r="AZ575">
        <v>0</v>
      </c>
      <c r="BA575">
        <v>100</v>
      </c>
      <c r="BB575">
        <v>100</v>
      </c>
      <c r="BC575">
        <v>100</v>
      </c>
      <c r="BD575">
        <v>100</v>
      </c>
      <c r="BE575">
        <v>1</v>
      </c>
      <c r="BF575">
        <v>15000</v>
      </c>
      <c r="BG575">
        <v>1000</v>
      </c>
      <c r="BH575" s="8">
        <f>Granger_Inventory[[#This Row],[land_extract]]*Lookups!$B$3</f>
        <v>24733.049859725303</v>
      </c>
      <c r="BI575" s="8">
        <f>IF(Granger_Inventory[[#This Row],[bldg_style]]="",0,Lookups!$B$2)</f>
        <v>29703.559000000001</v>
      </c>
      <c r="BJ575" s="8">
        <f>_xlfn.IFNA(VLOOKUP(Granger_Inventory[[#This Row],[quality]],Lookups!$H$2:$J$14,3,FALSE),0)</f>
        <v>71767</v>
      </c>
      <c r="BK575" s="8">
        <f>_xlfn.IFNA(VLOOKUP(Granger_Inventory[[#This Row],[condition]],Lookups!$H$17:$J$24,3,FALSE),0)</f>
        <v>101774</v>
      </c>
      <c r="BL575" s="8">
        <f>Granger_Inventory[[#This Row],[Age]]*Lookups!$B$16</f>
        <v>-621.99329999999998</v>
      </c>
      <c r="BM575" s="8">
        <f>Granger_Inventory[[#This Row],[living_area]]*Lookups!$B$17</f>
        <v>114027.580755</v>
      </c>
      <c r="BN575" s="8">
        <f>(Granger_Inventory[[#This Row],[att_gar]]+Granger_Inventory[[#This Row],[blt_gar]])*Lookups!$B$18</f>
        <v>26743.067472000002</v>
      </c>
      <c r="BO575" s="8">
        <f>Granger_Inventory[[#This Row],[Patio]]*Lookups!$B$19</f>
        <v>0</v>
      </c>
      <c r="BP575" s="8">
        <f>SUM(Granger_Inventory[[#This Row],[Intercept]:[Patio_Value]])*Granger_Inventory[[#This Row],[res_pct]]</f>
        <v>343393.21392700006</v>
      </c>
      <c r="BQ575" s="8">
        <f>Granger_Inventory[[#This Row],[land_value]]</f>
        <v>24733.049859725303</v>
      </c>
      <c r="BR575" s="4">
        <f>_xlfn.IFNA(VLOOKUP(Granger_Inventory[[#This Row],[quality]],Lookups!$A$25:$C$35,3,FALSE),1)</f>
        <v>0.992092799099482</v>
      </c>
      <c r="BS575" s="4">
        <f>_xlfn.IFNA(VLOOKUP(Granger_Inventory[[#This Row],[condition]],Lookups!$A$38:$C$45,3,FALSE),1)</f>
        <v>0.99135053432734199</v>
      </c>
      <c r="BT575" s="4">
        <f>IF(Granger_Inventory[[#This Row],[decade]]="",1,_xlfn.IFNA(VLOOKUP(Granger_Inventory[[#This Row],[decade]],Lookups!$G$28:$I$42,3,FALSE),1))</f>
        <v>0.95532362136731586</v>
      </c>
      <c r="BU575" s="4">
        <f>_xlfn.IFNA(VLOOKUP(Granger_Inventory[[#This Row],[living_area_range]],Lookups!$A$48:$C$57,3,FALSE),1)</f>
        <v>0.97860968051050168</v>
      </c>
      <c r="BV575" s="4">
        <f>AVERAGE(Granger_Inventory[[#This Row],[qual_adj]:[living_range_adj]])</f>
        <v>0.97934415882616044</v>
      </c>
      <c r="BW575" s="8">
        <f>(Granger_Inventory[[#This Row],[sum_land]]-IF(Granger_Inventory[[#This Row],[no_utilities]]=1,12000,0))/IF(Granger_Inventory[[#This Row],[unbuildable]]=1,2,1)</f>
        <v>24733.049859725303</v>
      </c>
      <c r="BX575" s="8">
        <f>Granger_Inventory[[#This Row],[pre_res]]*Granger_Inventory[[#This Row],[overall_adj]]</f>
        <v>336300.13823994965</v>
      </c>
      <c r="BY575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5">
        <f>ROUND(Granger_Inventory[[#This Row],[detatched_value]]*Lookups!$I$45,-2)</f>
        <v>0</v>
      </c>
      <c r="CA575">
        <f>IF(ROUND(Granger_Inventory[[#This Row],[adj_res]]*Lookups!$I$45,-2)&lt;Granger_Inventory[[#This Row],[min_res]],Granger_Inventory[[#This Row],[min_res]],ROUND(Granger_Inventory[[#This Row],[adj_res]]*Lookups!$I$45,-2))</f>
        <v>319500</v>
      </c>
      <c r="CB575">
        <f>Granger_Inventory[[#This Row],[final_det]]+Granger_Inventory[[#This Row],[final_res]]</f>
        <v>319500</v>
      </c>
      <c r="CC575">
        <f>Granger_Inventory[[#This Row],[final_land]]+Granger_Inventory[[#This Row],[final_imp]]+Granger_Inventory[[#This Row],[crop_value]]</f>
        <v>343000</v>
      </c>
      <c r="CE575" t="str">
        <f t="shared" si="8"/>
        <v>update valuation set market_land =23500, market_bldg=319500, market_total =343000, market_mdno =402, market_date ='9/10/2023' where link_id = (select link_id from parcel where parcel_year = '2024' and parcel_id = '21102231415');</v>
      </c>
    </row>
    <row r="576" spans="1:83" x14ac:dyDescent="0.25">
      <c r="A576">
        <v>21102231416</v>
      </c>
      <c r="B576">
        <v>0.18</v>
      </c>
      <c r="C576">
        <v>7998</v>
      </c>
      <c r="D576" t="s">
        <v>137</v>
      </c>
      <c r="E576" t="s">
        <v>54</v>
      </c>
      <c r="F576" t="s">
        <v>54</v>
      </c>
      <c r="G576">
        <v>3</v>
      </c>
      <c r="H576" t="s">
        <v>55</v>
      </c>
      <c r="I576">
        <v>302300</v>
      </c>
      <c r="J576">
        <v>27400</v>
      </c>
      <c r="K576">
        <v>0.18</v>
      </c>
      <c r="L57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6">
        <v>0</v>
      </c>
      <c r="N576">
        <v>0</v>
      </c>
      <c r="O576">
        <v>0</v>
      </c>
      <c r="P576">
        <v>47108.068500000001</v>
      </c>
      <c r="Q576">
        <v>122298</v>
      </c>
      <c r="R576">
        <f>(Granger_Inventory[[#This Row],[ln_acres]]*Granger_Inventory[[#This Row],[coeff]])+Granger_Inventory[[#This Row],[const]]</f>
        <v>41517.1581857532</v>
      </c>
      <c r="S576" t="s">
        <v>56</v>
      </c>
      <c r="T576">
        <v>1</v>
      </c>
      <c r="U576" t="s">
        <v>57</v>
      </c>
      <c r="V576" t="s">
        <v>58</v>
      </c>
      <c r="W576">
        <v>0</v>
      </c>
      <c r="X576">
        <v>0</v>
      </c>
      <c r="Y576">
        <v>1</v>
      </c>
      <c r="Z576">
        <v>1</v>
      </c>
      <c r="AA576">
        <v>10</v>
      </c>
      <c r="AB576">
        <v>2000</v>
      </c>
      <c r="AC576">
        <v>1615</v>
      </c>
      <c r="AD576">
        <v>1615</v>
      </c>
      <c r="AE576">
        <v>0</v>
      </c>
      <c r="AF576">
        <v>0</v>
      </c>
      <c r="AG576">
        <v>0</v>
      </c>
      <c r="AH576">
        <v>0</v>
      </c>
      <c r="AI576">
        <v>552</v>
      </c>
      <c r="AJ576">
        <v>0</v>
      </c>
      <c r="AK576">
        <v>0</v>
      </c>
      <c r="AL576">
        <v>0</v>
      </c>
      <c r="AM576">
        <v>0</v>
      </c>
      <c r="AN576">
        <v>54</v>
      </c>
      <c r="AO576">
        <v>0</v>
      </c>
      <c r="AP576">
        <v>9</v>
      </c>
      <c r="AQ576">
        <v>0</v>
      </c>
      <c r="AR576">
        <v>0</v>
      </c>
      <c r="AS576" t="s">
        <v>59</v>
      </c>
      <c r="AT576">
        <v>1</v>
      </c>
      <c r="AU576" t="s">
        <v>60</v>
      </c>
      <c r="AV576" t="s">
        <v>61</v>
      </c>
      <c r="AW576">
        <v>1</v>
      </c>
      <c r="AX576">
        <v>3</v>
      </c>
      <c r="AY576">
        <v>0</v>
      </c>
      <c r="AZ576">
        <v>0</v>
      </c>
      <c r="BA576">
        <v>100</v>
      </c>
      <c r="BB576">
        <v>100</v>
      </c>
      <c r="BC576">
        <v>100</v>
      </c>
      <c r="BD576">
        <v>100</v>
      </c>
      <c r="BE576">
        <v>1</v>
      </c>
      <c r="BF576">
        <v>15000</v>
      </c>
      <c r="BG576">
        <v>1000</v>
      </c>
      <c r="BH576" s="8">
        <f>Granger_Inventory[[#This Row],[land_extract]]*Lookups!$B$3</f>
        <v>24733.049859725303</v>
      </c>
      <c r="BI576" s="8">
        <f>IF(Granger_Inventory[[#This Row],[bldg_style]]="",0,Lookups!$B$2)</f>
        <v>29703.559000000001</v>
      </c>
      <c r="BJ576" s="8">
        <f>_xlfn.IFNA(VLOOKUP(Granger_Inventory[[#This Row],[quality]],Lookups!$H$2:$J$14,3,FALSE),0)</f>
        <v>56414</v>
      </c>
      <c r="BK576" s="8">
        <f>_xlfn.IFNA(VLOOKUP(Granger_Inventory[[#This Row],[condition]],Lookups!$H$17:$J$24,3,FALSE),0)</f>
        <v>101774</v>
      </c>
      <c r="BL576" s="8">
        <f>Granger_Inventory[[#This Row],[Age]]*Lookups!$B$16</f>
        <v>-207.33109999999999</v>
      </c>
      <c r="BM576" s="8">
        <f>Granger_Inventory[[#This Row],[living_area]]*Lookups!$B$17</f>
        <v>108645.748035</v>
      </c>
      <c r="BN576" s="8">
        <f>(Granger_Inventory[[#This Row],[att_gar]]+Granger_Inventory[[#This Row],[blt_gar]])*Lookups!$B$18</f>
        <v>26743.067472000002</v>
      </c>
      <c r="BO576" s="8">
        <f>Granger_Inventory[[#This Row],[Patio]]*Lookups!$B$19</f>
        <v>0</v>
      </c>
      <c r="BP576" s="8">
        <f>SUM(Granger_Inventory[[#This Row],[Intercept]:[Patio_Value]])*Granger_Inventory[[#This Row],[res_pct]]</f>
        <v>323073.04340700002</v>
      </c>
      <c r="BQ576" s="8">
        <f>Granger_Inventory[[#This Row],[land_value]]</f>
        <v>24733.049859725303</v>
      </c>
      <c r="BR576" s="4">
        <f>_xlfn.IFNA(VLOOKUP(Granger_Inventory[[#This Row],[quality]],Lookups!$A$25:$C$35,3,FALSE),1)</f>
        <v>0.98791809110152173</v>
      </c>
      <c r="BS576" s="4">
        <f>_xlfn.IFNA(VLOOKUP(Granger_Inventory[[#This Row],[condition]],Lookups!$A$38:$C$45,3,FALSE),1)</f>
        <v>0.99135053432734199</v>
      </c>
      <c r="BT576" s="4">
        <f>IF(Granger_Inventory[[#This Row],[decade]]="",1,_xlfn.IFNA(VLOOKUP(Granger_Inventory[[#This Row],[decade]],Lookups!$G$28:$I$42,3,FALSE),1))</f>
        <v>0.95532362136731586</v>
      </c>
      <c r="BU576" s="4">
        <f>_xlfn.IFNA(VLOOKUP(Granger_Inventory[[#This Row],[living_area_range]],Lookups!$A$48:$C$57,3,FALSE),1)</f>
        <v>0.97860968051050168</v>
      </c>
      <c r="BV576" s="4">
        <f>AVERAGE(Granger_Inventory[[#This Row],[qual_adj]:[living_range_adj]])</f>
        <v>0.97830048182667029</v>
      </c>
      <c r="BW576" s="8">
        <f>(Granger_Inventory[[#This Row],[sum_land]]-IF(Granger_Inventory[[#This Row],[no_utilities]]=1,12000,0))/IF(Granger_Inventory[[#This Row],[unbuildable]]=1,2,1)</f>
        <v>24733.049859725303</v>
      </c>
      <c r="BX576" s="8">
        <f>Granger_Inventory[[#This Row],[pre_res]]*Granger_Inventory[[#This Row],[overall_adj]]</f>
        <v>316062.51403027686</v>
      </c>
      <c r="BY57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6">
        <f>ROUND(Granger_Inventory[[#This Row],[detatched_value]]*Lookups!$I$45,-2)</f>
        <v>0</v>
      </c>
      <c r="CA576">
        <f>IF(ROUND(Granger_Inventory[[#This Row],[adj_res]]*Lookups!$I$45,-2)&lt;Granger_Inventory[[#This Row],[min_res]],Granger_Inventory[[#This Row],[min_res]],ROUND(Granger_Inventory[[#This Row],[adj_res]]*Lookups!$I$45,-2))</f>
        <v>300300</v>
      </c>
      <c r="CB576">
        <f>Granger_Inventory[[#This Row],[final_det]]+Granger_Inventory[[#This Row],[final_res]]</f>
        <v>300300</v>
      </c>
      <c r="CC576">
        <f>Granger_Inventory[[#This Row],[final_land]]+Granger_Inventory[[#This Row],[final_imp]]+Granger_Inventory[[#This Row],[crop_value]]</f>
        <v>323800</v>
      </c>
      <c r="CE576" t="str">
        <f t="shared" si="8"/>
        <v>update valuation set market_land =23500, market_bldg=300300, market_total =323800, market_mdno =402, market_date ='9/10/2023' where link_id = (select link_id from parcel where parcel_year = '2024' and parcel_id = '21102231416');</v>
      </c>
    </row>
    <row r="577" spans="1:83" x14ac:dyDescent="0.25">
      <c r="A577">
        <v>21102231417</v>
      </c>
      <c r="B577">
        <v>0.18</v>
      </c>
      <c r="C577">
        <v>7968</v>
      </c>
      <c r="D577" t="s">
        <v>137</v>
      </c>
      <c r="E577" t="s">
        <v>54</v>
      </c>
      <c r="F577" t="s">
        <v>54</v>
      </c>
      <c r="G577">
        <v>3</v>
      </c>
      <c r="H577" t="s">
        <v>55</v>
      </c>
      <c r="I577">
        <v>357600</v>
      </c>
      <c r="J577">
        <v>27400</v>
      </c>
      <c r="K577">
        <v>0.18</v>
      </c>
      <c r="L577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7">
        <v>0</v>
      </c>
      <c r="N577">
        <v>0</v>
      </c>
      <c r="O577">
        <v>0</v>
      </c>
      <c r="P577">
        <v>47108.068500000001</v>
      </c>
      <c r="Q577">
        <v>122298</v>
      </c>
      <c r="R577">
        <f>(Granger_Inventory[[#This Row],[ln_acres]]*Granger_Inventory[[#This Row],[coeff]])+Granger_Inventory[[#This Row],[const]]</f>
        <v>41517.1581857532</v>
      </c>
      <c r="S577" t="s">
        <v>59</v>
      </c>
      <c r="T577">
        <v>1</v>
      </c>
      <c r="U577" t="s">
        <v>57</v>
      </c>
      <c r="V577" t="s">
        <v>58</v>
      </c>
      <c r="W577">
        <v>0</v>
      </c>
      <c r="X577">
        <v>0</v>
      </c>
      <c r="Y577">
        <v>3</v>
      </c>
      <c r="Z577">
        <v>3</v>
      </c>
      <c r="AA577">
        <v>10</v>
      </c>
      <c r="AB577">
        <v>2500</v>
      </c>
      <c r="AC577">
        <v>2070</v>
      </c>
      <c r="AD577">
        <v>2070</v>
      </c>
      <c r="AE577">
        <v>0</v>
      </c>
      <c r="AF577">
        <v>0</v>
      </c>
      <c r="AG577">
        <v>0</v>
      </c>
      <c r="AH577">
        <v>0</v>
      </c>
      <c r="AI577">
        <v>480</v>
      </c>
      <c r="AJ577">
        <v>0</v>
      </c>
      <c r="AK577">
        <v>0</v>
      </c>
      <c r="AL577">
        <v>0</v>
      </c>
      <c r="AM577">
        <v>0</v>
      </c>
      <c r="AN577">
        <v>48</v>
      </c>
      <c r="AO577">
        <v>0</v>
      </c>
      <c r="AP577">
        <v>8</v>
      </c>
      <c r="AQ577">
        <v>0</v>
      </c>
      <c r="AR577">
        <v>0</v>
      </c>
      <c r="AS577" t="s">
        <v>59</v>
      </c>
      <c r="AT577">
        <v>1</v>
      </c>
      <c r="AU577" t="s">
        <v>63</v>
      </c>
      <c r="AV577" t="s">
        <v>65</v>
      </c>
      <c r="AW577">
        <v>1</v>
      </c>
      <c r="AX577">
        <v>3</v>
      </c>
      <c r="AY577">
        <v>0</v>
      </c>
      <c r="AZ577">
        <v>0</v>
      </c>
      <c r="BA577">
        <v>100</v>
      </c>
      <c r="BB577">
        <v>100</v>
      </c>
      <c r="BC577">
        <v>100</v>
      </c>
      <c r="BD577">
        <v>100</v>
      </c>
      <c r="BE577">
        <v>1</v>
      </c>
      <c r="BF577">
        <v>15000</v>
      </c>
      <c r="BG577">
        <v>1000</v>
      </c>
      <c r="BH577" s="8">
        <f>Granger_Inventory[[#This Row],[land_extract]]*Lookups!$B$3</f>
        <v>24733.049859725303</v>
      </c>
      <c r="BI577" s="8">
        <f>IF(Granger_Inventory[[#This Row],[bldg_style]]="",0,Lookups!$B$2)</f>
        <v>29703.559000000001</v>
      </c>
      <c r="BJ577" s="8">
        <f>_xlfn.IFNA(VLOOKUP(Granger_Inventory[[#This Row],[quality]],Lookups!$H$2:$J$14,3,FALSE),0)</f>
        <v>56414</v>
      </c>
      <c r="BK577" s="8">
        <f>_xlfn.IFNA(VLOOKUP(Granger_Inventory[[#This Row],[condition]],Lookups!$H$17:$J$24,3,FALSE),0)</f>
        <v>101774</v>
      </c>
      <c r="BL577" s="8">
        <f>Granger_Inventory[[#This Row],[Age]]*Lookups!$B$16</f>
        <v>-621.99329999999998</v>
      </c>
      <c r="BM577" s="8">
        <f>Granger_Inventory[[#This Row],[living_area]]*Lookups!$B$17</f>
        <v>139254.92163</v>
      </c>
      <c r="BN577" s="8">
        <f>(Granger_Inventory[[#This Row],[att_gar]]+Granger_Inventory[[#This Row],[blt_gar]])*Lookups!$B$18</f>
        <v>23254.841280000001</v>
      </c>
      <c r="BO577" s="8">
        <f>Granger_Inventory[[#This Row],[Patio]]*Lookups!$B$19</f>
        <v>0</v>
      </c>
      <c r="BP577" s="8">
        <f>SUM(Granger_Inventory[[#This Row],[Intercept]:[Patio_Value]])*Granger_Inventory[[#This Row],[res_pct]]</f>
        <v>349779.32861000003</v>
      </c>
      <c r="BQ577" s="8">
        <f>Granger_Inventory[[#This Row],[land_value]]</f>
        <v>24733.049859725303</v>
      </c>
      <c r="BR577" s="4">
        <f>_xlfn.IFNA(VLOOKUP(Granger_Inventory[[#This Row],[quality]],Lookups!$A$25:$C$35,3,FALSE),1)</f>
        <v>0.98791809110152173</v>
      </c>
      <c r="BS577" s="4">
        <f>_xlfn.IFNA(VLOOKUP(Granger_Inventory[[#This Row],[condition]],Lookups!$A$38:$C$45,3,FALSE),1)</f>
        <v>0.99135053432734199</v>
      </c>
      <c r="BT577" s="4">
        <f>IF(Granger_Inventory[[#This Row],[decade]]="",1,_xlfn.IFNA(VLOOKUP(Granger_Inventory[[#This Row],[decade]],Lookups!$G$28:$I$42,3,FALSE),1))</f>
        <v>0.95532362136731586</v>
      </c>
      <c r="BU577" s="4">
        <f>_xlfn.IFNA(VLOOKUP(Granger_Inventory[[#This Row],[living_area_range]],Lookups!$A$48:$C$57,3,FALSE),1)</f>
        <v>1.0000039906678986</v>
      </c>
      <c r="BV577" s="4">
        <f>AVERAGE(Granger_Inventory[[#This Row],[qual_adj]:[living_range_adj]])</f>
        <v>0.98364905936601943</v>
      </c>
      <c r="BW577" s="8">
        <f>(Granger_Inventory[[#This Row],[sum_land]]-IF(Granger_Inventory[[#This Row],[no_utilities]]=1,12000,0))/IF(Granger_Inventory[[#This Row],[unbuildable]]=1,2,1)</f>
        <v>24733.049859725303</v>
      </c>
      <c r="BX577" s="8">
        <f>Granger_Inventory[[#This Row],[pre_res]]*Granger_Inventory[[#This Row],[overall_adj]]</f>
        <v>344060.10757290432</v>
      </c>
      <c r="BY577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7">
        <f>ROUND(Granger_Inventory[[#This Row],[detatched_value]]*Lookups!$I$45,-2)</f>
        <v>0</v>
      </c>
      <c r="CA577">
        <f>IF(ROUND(Granger_Inventory[[#This Row],[adj_res]]*Lookups!$I$45,-2)&lt;Granger_Inventory[[#This Row],[min_res]],Granger_Inventory[[#This Row],[min_res]],ROUND(Granger_Inventory[[#This Row],[adj_res]]*Lookups!$I$45,-2))</f>
        <v>326900</v>
      </c>
      <c r="CB577">
        <f>Granger_Inventory[[#This Row],[final_det]]+Granger_Inventory[[#This Row],[final_res]]</f>
        <v>326900</v>
      </c>
      <c r="CC577">
        <f>Granger_Inventory[[#This Row],[final_land]]+Granger_Inventory[[#This Row],[final_imp]]+Granger_Inventory[[#This Row],[crop_value]]</f>
        <v>350400</v>
      </c>
      <c r="CE577" t="str">
        <f t="shared" si="8"/>
        <v>update valuation set market_land =23500, market_bldg=326900, market_total =350400, market_mdno =402, market_date ='9/10/2023' where link_id = (select link_id from parcel where parcel_year = '2024' and parcel_id = '21102231417');</v>
      </c>
    </row>
    <row r="578" spans="1:83" x14ac:dyDescent="0.25">
      <c r="A578">
        <v>21102231419</v>
      </c>
      <c r="B578">
        <v>0.18</v>
      </c>
      <c r="C578">
        <v>8001</v>
      </c>
      <c r="D578" t="s">
        <v>137</v>
      </c>
      <c r="E578" t="s">
        <v>54</v>
      </c>
      <c r="F578" t="s">
        <v>54</v>
      </c>
      <c r="G578">
        <v>3</v>
      </c>
      <c r="H578" t="s">
        <v>55</v>
      </c>
      <c r="I578">
        <v>354200</v>
      </c>
      <c r="J578">
        <v>27400</v>
      </c>
      <c r="K578">
        <v>0.18</v>
      </c>
      <c r="L578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8">
        <v>0</v>
      </c>
      <c r="N578">
        <v>0</v>
      </c>
      <c r="O578">
        <v>0</v>
      </c>
      <c r="P578">
        <v>47108.068500000001</v>
      </c>
      <c r="Q578">
        <v>122298</v>
      </c>
      <c r="R578">
        <f>(Granger_Inventory[[#This Row],[ln_acres]]*Granger_Inventory[[#This Row],[coeff]])+Granger_Inventory[[#This Row],[const]]</f>
        <v>41517.1581857532</v>
      </c>
      <c r="S578" t="s">
        <v>62</v>
      </c>
      <c r="T578">
        <v>1</v>
      </c>
      <c r="U578" t="s">
        <v>61</v>
      </c>
      <c r="V578" t="s">
        <v>58</v>
      </c>
      <c r="W578">
        <v>0</v>
      </c>
      <c r="X578">
        <v>0</v>
      </c>
      <c r="Y578">
        <v>1</v>
      </c>
      <c r="Z578">
        <v>1</v>
      </c>
      <c r="AA578">
        <v>10</v>
      </c>
      <c r="AB578">
        <v>2000</v>
      </c>
      <c r="AC578">
        <v>1856</v>
      </c>
      <c r="AD578">
        <v>1856</v>
      </c>
      <c r="AE578">
        <v>0</v>
      </c>
      <c r="AF578">
        <v>0</v>
      </c>
      <c r="AG578">
        <v>0</v>
      </c>
      <c r="AH578">
        <v>0</v>
      </c>
      <c r="AI578">
        <v>572</v>
      </c>
      <c r="AJ578">
        <v>0</v>
      </c>
      <c r="AK578">
        <v>0</v>
      </c>
      <c r="AL578">
        <v>0</v>
      </c>
      <c r="AM578">
        <v>0</v>
      </c>
      <c r="AN578">
        <v>452</v>
      </c>
      <c r="AO578">
        <v>0</v>
      </c>
      <c r="AP578">
        <v>8</v>
      </c>
      <c r="AQ578">
        <v>0</v>
      </c>
      <c r="AR578">
        <v>0</v>
      </c>
      <c r="AS578" t="s">
        <v>59</v>
      </c>
      <c r="AT578">
        <v>1</v>
      </c>
      <c r="AU578" t="s">
        <v>63</v>
      </c>
      <c r="AV578" t="s">
        <v>65</v>
      </c>
      <c r="AW578">
        <v>1</v>
      </c>
      <c r="AX578">
        <v>3</v>
      </c>
      <c r="AY578">
        <v>0</v>
      </c>
      <c r="AZ578">
        <v>3200</v>
      </c>
      <c r="BA578">
        <v>100</v>
      </c>
      <c r="BB578">
        <v>100</v>
      </c>
      <c r="BC578">
        <v>100</v>
      </c>
      <c r="BD578">
        <v>100</v>
      </c>
      <c r="BE578">
        <v>1</v>
      </c>
      <c r="BF578">
        <v>15000</v>
      </c>
      <c r="BG578">
        <v>1000</v>
      </c>
      <c r="BH578" s="8">
        <f>Granger_Inventory[[#This Row],[land_extract]]*Lookups!$B$3</f>
        <v>24733.049859725303</v>
      </c>
      <c r="BI578" s="8">
        <f>IF(Granger_Inventory[[#This Row],[bldg_style]]="",0,Lookups!$B$2)</f>
        <v>29703.559000000001</v>
      </c>
      <c r="BJ578" s="8">
        <f>_xlfn.IFNA(VLOOKUP(Granger_Inventory[[#This Row],[quality]],Lookups!$H$2:$J$14,3,FALSE),0)</f>
        <v>71767</v>
      </c>
      <c r="BK578" s="8">
        <f>_xlfn.IFNA(VLOOKUP(Granger_Inventory[[#This Row],[condition]],Lookups!$H$17:$J$24,3,FALSE),0)</f>
        <v>101774</v>
      </c>
      <c r="BL578" s="8">
        <f>Granger_Inventory[[#This Row],[Age]]*Lookups!$B$16</f>
        <v>-207.33109999999999</v>
      </c>
      <c r="BM578" s="8">
        <f>Granger_Inventory[[#This Row],[living_area]]*Lookups!$B$17</f>
        <v>124858.51910399999</v>
      </c>
      <c r="BN578" s="8">
        <f>(Granger_Inventory[[#This Row],[att_gar]]+Granger_Inventory[[#This Row],[blt_gar]])*Lookups!$B$18</f>
        <v>27712.019192</v>
      </c>
      <c r="BO578" s="8">
        <f>Granger_Inventory[[#This Row],[Patio]]*Lookups!$B$19</f>
        <v>0</v>
      </c>
      <c r="BP578" s="8">
        <f>SUM(Granger_Inventory[[#This Row],[Intercept]:[Patio_Value]])*Granger_Inventory[[#This Row],[res_pct]]</f>
        <v>355607.76619599998</v>
      </c>
      <c r="BQ578" s="8">
        <f>Granger_Inventory[[#This Row],[land_value]]</f>
        <v>24733.049859725303</v>
      </c>
      <c r="BR578" s="4">
        <f>_xlfn.IFNA(VLOOKUP(Granger_Inventory[[#This Row],[quality]],Lookups!$A$25:$C$35,3,FALSE),1)</f>
        <v>0.992092799099482</v>
      </c>
      <c r="BS578" s="4">
        <f>_xlfn.IFNA(VLOOKUP(Granger_Inventory[[#This Row],[condition]],Lookups!$A$38:$C$45,3,FALSE),1)</f>
        <v>0.99135053432734199</v>
      </c>
      <c r="BT578" s="4">
        <f>IF(Granger_Inventory[[#This Row],[decade]]="",1,_xlfn.IFNA(VLOOKUP(Granger_Inventory[[#This Row],[decade]],Lookups!$G$28:$I$42,3,FALSE),1))</f>
        <v>0.95532362136731586</v>
      </c>
      <c r="BU578" s="4">
        <f>_xlfn.IFNA(VLOOKUP(Granger_Inventory[[#This Row],[living_area_range]],Lookups!$A$48:$C$57,3,FALSE),1)</f>
        <v>0.97860968051050168</v>
      </c>
      <c r="BV578" s="4">
        <f>AVERAGE(Granger_Inventory[[#This Row],[qual_adj]:[living_range_adj]])</f>
        <v>0.97934415882616044</v>
      </c>
      <c r="BW578" s="8">
        <f>(Granger_Inventory[[#This Row],[sum_land]]-IF(Granger_Inventory[[#This Row],[no_utilities]]=1,12000,0))/IF(Granger_Inventory[[#This Row],[unbuildable]]=1,2,1)</f>
        <v>24733.049859725303</v>
      </c>
      <c r="BX578" s="8">
        <f>Granger_Inventory[[#This Row],[pre_res]]*Granger_Inventory[[#This Row],[overall_adj]]</f>
        <v>348262.38865727151</v>
      </c>
      <c r="BY578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8">
        <f>ROUND(Granger_Inventory[[#This Row],[detatched_value]]*Lookups!$I$45,-2)</f>
        <v>3000</v>
      </c>
      <c r="CA578">
        <f>IF(ROUND(Granger_Inventory[[#This Row],[adj_res]]*Lookups!$I$45,-2)&lt;Granger_Inventory[[#This Row],[min_res]],Granger_Inventory[[#This Row],[min_res]],ROUND(Granger_Inventory[[#This Row],[adj_res]]*Lookups!$I$45,-2))</f>
        <v>330800</v>
      </c>
      <c r="CB578">
        <f>Granger_Inventory[[#This Row],[final_det]]+Granger_Inventory[[#This Row],[final_res]]</f>
        <v>333800</v>
      </c>
      <c r="CC578">
        <f>Granger_Inventory[[#This Row],[final_land]]+Granger_Inventory[[#This Row],[final_imp]]+Granger_Inventory[[#This Row],[crop_value]]</f>
        <v>357300</v>
      </c>
      <c r="CE578" t="str">
        <f t="shared" ref="CE578:CE611" si="9">"update valuation set market_land ="&amp;BY578&amp;", market_bldg="&amp;CB578&amp;", market_total ="&amp;CC578&amp;", market_mdno ="&amp;$CE$1&amp;", market_date ='"&amp;TEXT($CF$1,"m/d/yyyy")&amp;"' where link_id = (select link_id from parcel where parcel_year = '2024' and parcel_id = '"&amp;A578&amp;"');"</f>
        <v>update valuation set market_land =23500, market_bldg=333800, market_total =357300, market_mdno =402, market_date ='9/10/2023' where link_id = (select link_id from parcel where parcel_year = '2024' and parcel_id = '21102231419');</v>
      </c>
    </row>
    <row r="579" spans="1:83" x14ac:dyDescent="0.25">
      <c r="A579">
        <v>21102231420</v>
      </c>
      <c r="B579">
        <v>0.18</v>
      </c>
      <c r="C579">
        <v>7800</v>
      </c>
      <c r="D579" t="s">
        <v>137</v>
      </c>
      <c r="E579" t="s">
        <v>54</v>
      </c>
      <c r="F579" t="s">
        <v>54</v>
      </c>
      <c r="G579">
        <v>3</v>
      </c>
      <c r="H579" t="s">
        <v>55</v>
      </c>
      <c r="I579">
        <v>347000</v>
      </c>
      <c r="J579">
        <v>27400</v>
      </c>
      <c r="K579">
        <v>0.18</v>
      </c>
      <c r="L579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79">
        <v>0</v>
      </c>
      <c r="N579">
        <v>0</v>
      </c>
      <c r="O579">
        <v>0</v>
      </c>
      <c r="P579">
        <v>47108.068500000001</v>
      </c>
      <c r="Q579">
        <v>122298</v>
      </c>
      <c r="R579">
        <f>(Granger_Inventory[[#This Row],[ln_acres]]*Granger_Inventory[[#This Row],[coeff]])+Granger_Inventory[[#This Row],[const]]</f>
        <v>41517.1581857532</v>
      </c>
      <c r="S579" t="s">
        <v>59</v>
      </c>
      <c r="T579">
        <v>1</v>
      </c>
      <c r="U579" t="s">
        <v>61</v>
      </c>
      <c r="V579" t="s">
        <v>58</v>
      </c>
      <c r="W579">
        <v>0</v>
      </c>
      <c r="X579">
        <v>0</v>
      </c>
      <c r="Y579">
        <v>3</v>
      </c>
      <c r="Z579">
        <v>3</v>
      </c>
      <c r="AA579">
        <v>10</v>
      </c>
      <c r="AB579">
        <v>2000</v>
      </c>
      <c r="AC579">
        <v>1856</v>
      </c>
      <c r="AD579">
        <v>1856</v>
      </c>
      <c r="AE579">
        <v>0</v>
      </c>
      <c r="AF579">
        <v>0</v>
      </c>
      <c r="AG579">
        <v>0</v>
      </c>
      <c r="AH579">
        <v>0</v>
      </c>
      <c r="AI579">
        <v>594</v>
      </c>
      <c r="AJ579">
        <v>0</v>
      </c>
      <c r="AK579">
        <v>0</v>
      </c>
      <c r="AL579">
        <v>0</v>
      </c>
      <c r="AM579">
        <v>0</v>
      </c>
      <c r="AN579">
        <v>192</v>
      </c>
      <c r="AO579">
        <v>0</v>
      </c>
      <c r="AP579">
        <v>9</v>
      </c>
      <c r="AQ579">
        <v>0</v>
      </c>
      <c r="AR579">
        <v>0</v>
      </c>
      <c r="AS579" t="s">
        <v>59</v>
      </c>
      <c r="AT579">
        <v>1</v>
      </c>
      <c r="AU579" t="s">
        <v>63</v>
      </c>
      <c r="AV579" t="s">
        <v>65</v>
      </c>
      <c r="AW579">
        <v>1</v>
      </c>
      <c r="AX579">
        <v>3</v>
      </c>
      <c r="AY579">
        <v>0</v>
      </c>
      <c r="AZ579">
        <v>0</v>
      </c>
      <c r="BA579">
        <v>100</v>
      </c>
      <c r="BB579">
        <v>100</v>
      </c>
      <c r="BC579">
        <v>100</v>
      </c>
      <c r="BD579">
        <v>100</v>
      </c>
      <c r="BE579">
        <v>1</v>
      </c>
      <c r="BF579">
        <v>15000</v>
      </c>
      <c r="BG579">
        <v>1000</v>
      </c>
      <c r="BH579" s="8">
        <f>Granger_Inventory[[#This Row],[land_extract]]*Lookups!$B$3</f>
        <v>24733.049859725303</v>
      </c>
      <c r="BI579" s="8">
        <f>IF(Granger_Inventory[[#This Row],[bldg_style]]="",0,Lookups!$B$2)</f>
        <v>29703.559000000001</v>
      </c>
      <c r="BJ579" s="8">
        <f>_xlfn.IFNA(VLOOKUP(Granger_Inventory[[#This Row],[quality]],Lookups!$H$2:$J$14,3,FALSE),0)</f>
        <v>71767</v>
      </c>
      <c r="BK579" s="8">
        <f>_xlfn.IFNA(VLOOKUP(Granger_Inventory[[#This Row],[condition]],Lookups!$H$17:$J$24,3,FALSE),0)</f>
        <v>101774</v>
      </c>
      <c r="BL579" s="8">
        <f>Granger_Inventory[[#This Row],[Age]]*Lookups!$B$16</f>
        <v>-621.99329999999998</v>
      </c>
      <c r="BM579" s="8">
        <f>Granger_Inventory[[#This Row],[living_area]]*Lookups!$B$17</f>
        <v>124858.51910399999</v>
      </c>
      <c r="BN579" s="8">
        <f>(Granger_Inventory[[#This Row],[att_gar]]+Granger_Inventory[[#This Row],[blt_gar]])*Lookups!$B$18</f>
        <v>28777.866084000001</v>
      </c>
      <c r="BO579" s="8">
        <f>Granger_Inventory[[#This Row],[Patio]]*Lookups!$B$19</f>
        <v>0</v>
      </c>
      <c r="BP579" s="8">
        <f>SUM(Granger_Inventory[[#This Row],[Intercept]:[Patio_Value]])*Granger_Inventory[[#This Row],[res_pct]]</f>
        <v>356258.95088799996</v>
      </c>
      <c r="BQ579" s="8">
        <f>Granger_Inventory[[#This Row],[land_value]]</f>
        <v>24733.049859725303</v>
      </c>
      <c r="BR579" s="4">
        <f>_xlfn.IFNA(VLOOKUP(Granger_Inventory[[#This Row],[quality]],Lookups!$A$25:$C$35,3,FALSE),1)</f>
        <v>0.992092799099482</v>
      </c>
      <c r="BS579" s="4">
        <f>_xlfn.IFNA(VLOOKUP(Granger_Inventory[[#This Row],[condition]],Lookups!$A$38:$C$45,3,FALSE),1)</f>
        <v>0.99135053432734199</v>
      </c>
      <c r="BT579" s="4">
        <f>IF(Granger_Inventory[[#This Row],[decade]]="",1,_xlfn.IFNA(VLOOKUP(Granger_Inventory[[#This Row],[decade]],Lookups!$G$28:$I$42,3,FALSE),1))</f>
        <v>0.95532362136731586</v>
      </c>
      <c r="BU579" s="4">
        <f>_xlfn.IFNA(VLOOKUP(Granger_Inventory[[#This Row],[living_area_range]],Lookups!$A$48:$C$57,3,FALSE),1)</f>
        <v>0.97860968051050168</v>
      </c>
      <c r="BV579" s="4">
        <f>AVERAGE(Granger_Inventory[[#This Row],[qual_adj]:[living_range_adj]])</f>
        <v>0.97934415882616044</v>
      </c>
      <c r="BW579" s="8">
        <f>(Granger_Inventory[[#This Row],[sum_land]]-IF(Granger_Inventory[[#This Row],[no_utilities]]=1,12000,0))/IF(Granger_Inventory[[#This Row],[unbuildable]]=1,2,1)</f>
        <v>24733.049859725303</v>
      </c>
      <c r="BX579" s="8">
        <f>Granger_Inventory[[#This Row],[pre_res]]*Granger_Inventory[[#This Row],[overall_adj]]</f>
        <v>348900.1225816987</v>
      </c>
      <c r="BY579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79">
        <f>ROUND(Granger_Inventory[[#This Row],[detatched_value]]*Lookups!$I$45,-2)</f>
        <v>0</v>
      </c>
      <c r="CA579">
        <f>IF(ROUND(Granger_Inventory[[#This Row],[adj_res]]*Lookups!$I$45,-2)&lt;Granger_Inventory[[#This Row],[min_res]],Granger_Inventory[[#This Row],[min_res]],ROUND(Granger_Inventory[[#This Row],[adj_res]]*Lookups!$I$45,-2))</f>
        <v>331500</v>
      </c>
      <c r="CB579">
        <f>Granger_Inventory[[#This Row],[final_det]]+Granger_Inventory[[#This Row],[final_res]]</f>
        <v>331500</v>
      </c>
      <c r="CC579">
        <f>Granger_Inventory[[#This Row],[final_land]]+Granger_Inventory[[#This Row],[final_imp]]+Granger_Inventory[[#This Row],[crop_value]]</f>
        <v>355000</v>
      </c>
      <c r="CE579" t="str">
        <f t="shared" si="9"/>
        <v>update valuation set market_land =23500, market_bldg=331500, market_total =355000, market_mdno =402, market_date ='9/10/2023' where link_id = (select link_id from parcel where parcel_year = '2024' and parcel_id = '21102231420');</v>
      </c>
    </row>
    <row r="580" spans="1:83" x14ac:dyDescent="0.25">
      <c r="A580">
        <v>21102231421</v>
      </c>
      <c r="B580">
        <v>0.17</v>
      </c>
      <c r="C580">
        <v>7524</v>
      </c>
      <c r="D580" t="s">
        <v>137</v>
      </c>
      <c r="E580" t="s">
        <v>54</v>
      </c>
      <c r="F580" t="s">
        <v>54</v>
      </c>
      <c r="G580">
        <v>3</v>
      </c>
      <c r="H580" t="s">
        <v>55</v>
      </c>
      <c r="I580">
        <v>337700</v>
      </c>
      <c r="J580">
        <v>27100</v>
      </c>
      <c r="K580">
        <v>0.17</v>
      </c>
      <c r="L580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580">
        <v>0</v>
      </c>
      <c r="N580">
        <v>0</v>
      </c>
      <c r="O580">
        <v>0</v>
      </c>
      <c r="P580">
        <v>47108.068500000001</v>
      </c>
      <c r="Q580">
        <v>122298</v>
      </c>
      <c r="R580">
        <f>(Granger_Inventory[[#This Row],[ln_acres]]*Granger_Inventory[[#This Row],[coeff]])+Granger_Inventory[[#This Row],[const]]</f>
        <v>38824.535711229546</v>
      </c>
      <c r="S580" t="s">
        <v>59</v>
      </c>
      <c r="T580">
        <v>1</v>
      </c>
      <c r="U580" t="s">
        <v>57</v>
      </c>
      <c r="V580" t="s">
        <v>58</v>
      </c>
      <c r="W580">
        <v>0</v>
      </c>
      <c r="X580">
        <v>0</v>
      </c>
      <c r="Y580">
        <v>4</v>
      </c>
      <c r="Z580">
        <v>4</v>
      </c>
      <c r="AA580">
        <v>10</v>
      </c>
      <c r="AB580">
        <v>2000</v>
      </c>
      <c r="AC580">
        <v>1728</v>
      </c>
      <c r="AD580">
        <v>1728</v>
      </c>
      <c r="AE580">
        <v>0</v>
      </c>
      <c r="AF580">
        <v>0</v>
      </c>
      <c r="AG580">
        <v>0</v>
      </c>
      <c r="AH580">
        <v>0</v>
      </c>
      <c r="AI580">
        <v>572</v>
      </c>
      <c r="AJ580">
        <v>0</v>
      </c>
      <c r="AK580">
        <v>0</v>
      </c>
      <c r="AL580">
        <v>0</v>
      </c>
      <c r="AM580">
        <v>0</v>
      </c>
      <c r="AN580">
        <v>204</v>
      </c>
      <c r="AO580">
        <v>0</v>
      </c>
      <c r="AP580">
        <v>9</v>
      </c>
      <c r="AQ580">
        <v>0</v>
      </c>
      <c r="AR580">
        <v>0</v>
      </c>
      <c r="AS580" t="s">
        <v>59</v>
      </c>
      <c r="AT580">
        <v>1</v>
      </c>
      <c r="AU580" t="s">
        <v>63</v>
      </c>
      <c r="AV580" t="s">
        <v>65</v>
      </c>
      <c r="AW580">
        <v>1</v>
      </c>
      <c r="AX580">
        <v>3</v>
      </c>
      <c r="AY580">
        <v>0</v>
      </c>
      <c r="AZ580">
        <v>0</v>
      </c>
      <c r="BA580">
        <v>100</v>
      </c>
      <c r="BB580">
        <v>100</v>
      </c>
      <c r="BC580">
        <v>100</v>
      </c>
      <c r="BD580">
        <v>100</v>
      </c>
      <c r="BE580">
        <v>1</v>
      </c>
      <c r="BF580">
        <v>15000</v>
      </c>
      <c r="BG580">
        <v>1000</v>
      </c>
      <c r="BH580" s="8">
        <f>Granger_Inventory[[#This Row],[land_extract]]*Lookups!$B$3</f>
        <v>23128.971718879347</v>
      </c>
      <c r="BI580" s="8">
        <f>IF(Granger_Inventory[[#This Row],[bldg_style]]="",0,Lookups!$B$2)</f>
        <v>29703.559000000001</v>
      </c>
      <c r="BJ580" s="8">
        <f>_xlfn.IFNA(VLOOKUP(Granger_Inventory[[#This Row],[quality]],Lookups!$H$2:$J$14,3,FALSE),0)</f>
        <v>56414</v>
      </c>
      <c r="BK580" s="8">
        <f>_xlfn.IFNA(VLOOKUP(Granger_Inventory[[#This Row],[condition]],Lookups!$H$17:$J$24,3,FALSE),0)</f>
        <v>101774</v>
      </c>
      <c r="BL580" s="8">
        <f>Granger_Inventory[[#This Row],[Age]]*Lookups!$B$16</f>
        <v>-829.32439999999997</v>
      </c>
      <c r="BM580" s="8">
        <f>Granger_Inventory[[#This Row],[living_area]]*Lookups!$B$17</f>
        <v>116247.586752</v>
      </c>
      <c r="BN580" s="8">
        <f>(Granger_Inventory[[#This Row],[att_gar]]+Granger_Inventory[[#This Row],[blt_gar]])*Lookups!$B$18</f>
        <v>27712.019192</v>
      </c>
      <c r="BO580" s="8">
        <f>Granger_Inventory[[#This Row],[Patio]]*Lookups!$B$19</f>
        <v>0</v>
      </c>
      <c r="BP580" s="8">
        <f>SUM(Granger_Inventory[[#This Row],[Intercept]:[Patio_Value]])*Granger_Inventory[[#This Row],[res_pct]]</f>
        <v>331021.84054399998</v>
      </c>
      <c r="BQ580" s="8">
        <f>Granger_Inventory[[#This Row],[land_value]]</f>
        <v>23128.971718879347</v>
      </c>
      <c r="BR580" s="4">
        <f>_xlfn.IFNA(VLOOKUP(Granger_Inventory[[#This Row],[quality]],Lookups!$A$25:$C$35,3,FALSE),1)</f>
        <v>0.98791809110152173</v>
      </c>
      <c r="BS580" s="4">
        <f>_xlfn.IFNA(VLOOKUP(Granger_Inventory[[#This Row],[condition]],Lookups!$A$38:$C$45,3,FALSE),1)</f>
        <v>0.99135053432734199</v>
      </c>
      <c r="BT580" s="4">
        <f>IF(Granger_Inventory[[#This Row],[decade]]="",1,_xlfn.IFNA(VLOOKUP(Granger_Inventory[[#This Row],[decade]],Lookups!$G$28:$I$42,3,FALSE),1))</f>
        <v>0.95532362136731586</v>
      </c>
      <c r="BU580" s="4">
        <f>_xlfn.IFNA(VLOOKUP(Granger_Inventory[[#This Row],[living_area_range]],Lookups!$A$48:$C$57,3,FALSE),1)</f>
        <v>0.97860968051050168</v>
      </c>
      <c r="BV580" s="4">
        <f>AVERAGE(Granger_Inventory[[#This Row],[qual_adj]:[living_range_adj]])</f>
        <v>0.97830048182667029</v>
      </c>
      <c r="BW580" s="8">
        <f>(Granger_Inventory[[#This Row],[sum_land]]-IF(Granger_Inventory[[#This Row],[no_utilities]]=1,12000,0))/IF(Granger_Inventory[[#This Row],[unbuildable]]=1,2,1)</f>
        <v>23128.971718879347</v>
      </c>
      <c r="BX580" s="8">
        <f>Granger_Inventory[[#This Row],[pre_res]]*Granger_Inventory[[#This Row],[overall_adj]]</f>
        <v>323838.82609934639</v>
      </c>
      <c r="BY580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580">
        <f>ROUND(Granger_Inventory[[#This Row],[detatched_value]]*Lookups!$I$45,-2)</f>
        <v>0</v>
      </c>
      <c r="CA580">
        <f>IF(ROUND(Granger_Inventory[[#This Row],[adj_res]]*Lookups!$I$45,-2)&lt;Granger_Inventory[[#This Row],[min_res]],Granger_Inventory[[#This Row],[min_res]],ROUND(Granger_Inventory[[#This Row],[adj_res]]*Lookups!$I$45,-2))</f>
        <v>307600</v>
      </c>
      <c r="CB580">
        <f>Granger_Inventory[[#This Row],[final_det]]+Granger_Inventory[[#This Row],[final_res]]</f>
        <v>307600</v>
      </c>
      <c r="CC580">
        <f>Granger_Inventory[[#This Row],[final_land]]+Granger_Inventory[[#This Row],[final_imp]]+Granger_Inventory[[#This Row],[crop_value]]</f>
        <v>329600</v>
      </c>
      <c r="CE580" t="str">
        <f t="shared" si="9"/>
        <v>update valuation set market_land =22000, market_bldg=307600, market_total =329600, market_mdno =402, market_date ='9/10/2023' where link_id = (select link_id from parcel where parcel_year = '2024' and parcel_id = '21102231421');</v>
      </c>
    </row>
    <row r="581" spans="1:83" x14ac:dyDescent="0.25">
      <c r="A581">
        <v>21102231422</v>
      </c>
      <c r="B581">
        <v>0.18</v>
      </c>
      <c r="C581">
        <v>7672</v>
      </c>
      <c r="D581" t="s">
        <v>137</v>
      </c>
      <c r="E581" t="s">
        <v>54</v>
      </c>
      <c r="F581" t="s">
        <v>54</v>
      </c>
      <c r="G581">
        <v>3</v>
      </c>
      <c r="H581" t="s">
        <v>55</v>
      </c>
      <c r="I581">
        <v>353100</v>
      </c>
      <c r="J581">
        <v>27400</v>
      </c>
      <c r="K581">
        <v>0.18</v>
      </c>
      <c r="L581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581">
        <v>0</v>
      </c>
      <c r="N581">
        <v>0</v>
      </c>
      <c r="O581">
        <v>0</v>
      </c>
      <c r="P581">
        <v>47108.068500000001</v>
      </c>
      <c r="Q581">
        <v>122298</v>
      </c>
      <c r="R581">
        <f>(Granger_Inventory[[#This Row],[ln_acres]]*Granger_Inventory[[#This Row],[coeff]])+Granger_Inventory[[#This Row],[const]]</f>
        <v>41517.1581857532</v>
      </c>
      <c r="S581" t="s">
        <v>59</v>
      </c>
      <c r="T581">
        <v>1</v>
      </c>
      <c r="U581" t="s">
        <v>61</v>
      </c>
      <c r="V581" t="s">
        <v>58</v>
      </c>
      <c r="W581">
        <v>0</v>
      </c>
      <c r="X581">
        <v>0</v>
      </c>
      <c r="Y581">
        <v>4</v>
      </c>
      <c r="Z581">
        <v>4</v>
      </c>
      <c r="AA581">
        <v>10</v>
      </c>
      <c r="AB581">
        <v>2000</v>
      </c>
      <c r="AC581">
        <v>1728</v>
      </c>
      <c r="AD581">
        <v>1728</v>
      </c>
      <c r="AE581">
        <v>0</v>
      </c>
      <c r="AF581">
        <v>0</v>
      </c>
      <c r="AG581">
        <v>0</v>
      </c>
      <c r="AH581">
        <v>0</v>
      </c>
      <c r="AI581">
        <v>572</v>
      </c>
      <c r="AJ581">
        <v>0</v>
      </c>
      <c r="AK581">
        <v>0</v>
      </c>
      <c r="AL581">
        <v>0</v>
      </c>
      <c r="AM581">
        <v>0</v>
      </c>
      <c r="AN581">
        <v>204</v>
      </c>
      <c r="AO581">
        <v>0</v>
      </c>
      <c r="AP581">
        <v>9</v>
      </c>
      <c r="AQ581">
        <v>0</v>
      </c>
      <c r="AR581">
        <v>0</v>
      </c>
      <c r="AS581" t="s">
        <v>59</v>
      </c>
      <c r="AT581">
        <v>1</v>
      </c>
      <c r="AU581" t="s">
        <v>63</v>
      </c>
      <c r="AV581" t="s">
        <v>65</v>
      </c>
      <c r="AW581">
        <v>1</v>
      </c>
      <c r="AX581">
        <v>3</v>
      </c>
      <c r="AY581">
        <v>0</v>
      </c>
      <c r="AZ581">
        <v>0</v>
      </c>
      <c r="BA581">
        <v>100</v>
      </c>
      <c r="BB581">
        <v>100</v>
      </c>
      <c r="BC581">
        <v>100</v>
      </c>
      <c r="BD581">
        <v>100</v>
      </c>
      <c r="BE581">
        <v>1</v>
      </c>
      <c r="BF581">
        <v>15000</v>
      </c>
      <c r="BG581">
        <v>1000</v>
      </c>
      <c r="BH581" s="8">
        <f>Granger_Inventory[[#This Row],[land_extract]]*Lookups!$B$3</f>
        <v>24733.049859725303</v>
      </c>
      <c r="BI581" s="8">
        <f>IF(Granger_Inventory[[#This Row],[bldg_style]]="",0,Lookups!$B$2)</f>
        <v>29703.559000000001</v>
      </c>
      <c r="BJ581" s="8">
        <f>_xlfn.IFNA(VLOOKUP(Granger_Inventory[[#This Row],[quality]],Lookups!$H$2:$J$14,3,FALSE),0)</f>
        <v>71767</v>
      </c>
      <c r="BK581" s="8">
        <f>_xlfn.IFNA(VLOOKUP(Granger_Inventory[[#This Row],[condition]],Lookups!$H$17:$J$24,3,FALSE),0)</f>
        <v>101774</v>
      </c>
      <c r="BL581" s="8">
        <f>Granger_Inventory[[#This Row],[Age]]*Lookups!$B$16</f>
        <v>-829.32439999999997</v>
      </c>
      <c r="BM581" s="8">
        <f>Granger_Inventory[[#This Row],[living_area]]*Lookups!$B$17</f>
        <v>116247.586752</v>
      </c>
      <c r="BN581" s="8">
        <f>(Granger_Inventory[[#This Row],[att_gar]]+Granger_Inventory[[#This Row],[blt_gar]])*Lookups!$B$18</f>
        <v>27712.019192</v>
      </c>
      <c r="BO581" s="8">
        <f>Granger_Inventory[[#This Row],[Patio]]*Lookups!$B$19</f>
        <v>0</v>
      </c>
      <c r="BP581" s="8">
        <f>SUM(Granger_Inventory[[#This Row],[Intercept]:[Patio_Value]])*Granger_Inventory[[#This Row],[res_pct]]</f>
        <v>346374.84054399998</v>
      </c>
      <c r="BQ581" s="8">
        <f>Granger_Inventory[[#This Row],[land_value]]</f>
        <v>24733.049859725303</v>
      </c>
      <c r="BR581" s="4">
        <f>_xlfn.IFNA(VLOOKUP(Granger_Inventory[[#This Row],[quality]],Lookups!$A$25:$C$35,3,FALSE),1)</f>
        <v>0.992092799099482</v>
      </c>
      <c r="BS581" s="4">
        <f>_xlfn.IFNA(VLOOKUP(Granger_Inventory[[#This Row],[condition]],Lookups!$A$38:$C$45,3,FALSE),1)</f>
        <v>0.99135053432734199</v>
      </c>
      <c r="BT581" s="4">
        <f>IF(Granger_Inventory[[#This Row],[decade]]="",1,_xlfn.IFNA(VLOOKUP(Granger_Inventory[[#This Row],[decade]],Lookups!$G$28:$I$42,3,FALSE),1))</f>
        <v>0.95532362136731586</v>
      </c>
      <c r="BU581" s="4">
        <f>_xlfn.IFNA(VLOOKUP(Granger_Inventory[[#This Row],[living_area_range]],Lookups!$A$48:$C$57,3,FALSE),1)</f>
        <v>0.97860968051050168</v>
      </c>
      <c r="BV581" s="4">
        <f>AVERAGE(Granger_Inventory[[#This Row],[qual_adj]:[living_range_adj]])</f>
        <v>0.97934415882616044</v>
      </c>
      <c r="BW581" s="8">
        <f>(Granger_Inventory[[#This Row],[sum_land]]-IF(Granger_Inventory[[#This Row],[no_utilities]]=1,12000,0))/IF(Granger_Inventory[[#This Row],[unbuildable]]=1,2,1)</f>
        <v>24733.049859725303</v>
      </c>
      <c r="BX581" s="8">
        <f>Granger_Inventory[[#This Row],[pre_res]]*Granger_Inventory[[#This Row],[overall_adj]]</f>
        <v>339220.17685110914</v>
      </c>
      <c r="BY581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581">
        <f>ROUND(Granger_Inventory[[#This Row],[detatched_value]]*Lookups!$I$45,-2)</f>
        <v>0</v>
      </c>
      <c r="CA581">
        <f>IF(ROUND(Granger_Inventory[[#This Row],[adj_res]]*Lookups!$I$45,-2)&lt;Granger_Inventory[[#This Row],[min_res]],Granger_Inventory[[#This Row],[min_res]],ROUND(Granger_Inventory[[#This Row],[adj_res]]*Lookups!$I$45,-2))</f>
        <v>322300</v>
      </c>
      <c r="CB581">
        <f>Granger_Inventory[[#This Row],[final_det]]+Granger_Inventory[[#This Row],[final_res]]</f>
        <v>322300</v>
      </c>
      <c r="CC581">
        <f>Granger_Inventory[[#This Row],[final_land]]+Granger_Inventory[[#This Row],[final_imp]]+Granger_Inventory[[#This Row],[crop_value]]</f>
        <v>345800</v>
      </c>
      <c r="CE581" t="str">
        <f t="shared" si="9"/>
        <v>update valuation set market_land =23500, market_bldg=322300, market_total =345800, market_mdno =402, market_date ='9/10/2023' where link_id = (select link_id from parcel where parcel_year = '2024' and parcel_id = '21102231422');</v>
      </c>
    </row>
    <row r="582" spans="1:83" x14ac:dyDescent="0.25">
      <c r="A582">
        <v>21102231426</v>
      </c>
      <c r="B582">
        <v>0.17</v>
      </c>
      <c r="C582">
        <v>7734</v>
      </c>
      <c r="D582" t="s">
        <v>137</v>
      </c>
      <c r="E582" t="s">
        <v>54</v>
      </c>
      <c r="F582" t="s">
        <v>54</v>
      </c>
      <c r="G582">
        <v>3</v>
      </c>
      <c r="H582" t="s">
        <v>55</v>
      </c>
      <c r="I582">
        <v>339900</v>
      </c>
      <c r="J582">
        <v>27100</v>
      </c>
      <c r="K582">
        <v>0.17</v>
      </c>
      <c r="L582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582">
        <v>0</v>
      </c>
      <c r="N582">
        <v>0</v>
      </c>
      <c r="O582">
        <v>0</v>
      </c>
      <c r="P582">
        <v>47108.068500000001</v>
      </c>
      <c r="Q582">
        <v>122298</v>
      </c>
      <c r="R582">
        <f>(Granger_Inventory[[#This Row],[ln_acres]]*Granger_Inventory[[#This Row],[coeff]])+Granger_Inventory[[#This Row],[const]]</f>
        <v>38824.535711229546</v>
      </c>
      <c r="S582" t="s">
        <v>59</v>
      </c>
      <c r="T582">
        <v>1</v>
      </c>
      <c r="U582" t="s">
        <v>61</v>
      </c>
      <c r="V582" t="s">
        <v>58</v>
      </c>
      <c r="W582">
        <v>0</v>
      </c>
      <c r="X582">
        <v>0</v>
      </c>
      <c r="Y582">
        <v>5</v>
      </c>
      <c r="Z582">
        <v>5</v>
      </c>
      <c r="AA582">
        <v>10</v>
      </c>
      <c r="AB582">
        <v>2000</v>
      </c>
      <c r="AC582">
        <v>1547</v>
      </c>
      <c r="AD582">
        <v>1547</v>
      </c>
      <c r="AE582">
        <v>0</v>
      </c>
      <c r="AF582">
        <v>0</v>
      </c>
      <c r="AG582">
        <v>0</v>
      </c>
      <c r="AH582">
        <v>0</v>
      </c>
      <c r="AI582">
        <v>552</v>
      </c>
      <c r="AJ582">
        <v>0</v>
      </c>
      <c r="AK582">
        <v>0</v>
      </c>
      <c r="AL582">
        <v>0</v>
      </c>
      <c r="AM582">
        <v>0</v>
      </c>
      <c r="AN582">
        <v>177</v>
      </c>
      <c r="AO582">
        <v>0</v>
      </c>
      <c r="AP582">
        <v>10</v>
      </c>
      <c r="AQ582">
        <v>0</v>
      </c>
      <c r="AR582">
        <v>0</v>
      </c>
      <c r="AS582" t="s">
        <v>59</v>
      </c>
      <c r="AT582">
        <v>1</v>
      </c>
      <c r="AU582" t="s">
        <v>63</v>
      </c>
      <c r="AV582" t="s">
        <v>65</v>
      </c>
      <c r="AW582">
        <v>1</v>
      </c>
      <c r="AX582">
        <v>3</v>
      </c>
      <c r="AY582">
        <v>0</v>
      </c>
      <c r="AZ582">
        <v>0</v>
      </c>
      <c r="BA582">
        <v>100</v>
      </c>
      <c r="BB582">
        <v>100</v>
      </c>
      <c r="BC582">
        <v>100</v>
      </c>
      <c r="BD582">
        <v>100</v>
      </c>
      <c r="BE582">
        <v>1</v>
      </c>
      <c r="BF582">
        <v>15000</v>
      </c>
      <c r="BG582">
        <v>1000</v>
      </c>
      <c r="BH582" s="8">
        <f>Granger_Inventory[[#This Row],[land_extract]]*Lookups!$B$3</f>
        <v>23128.971718879347</v>
      </c>
      <c r="BI582" s="8">
        <f>IF(Granger_Inventory[[#This Row],[bldg_style]]="",0,Lookups!$B$2)</f>
        <v>29703.559000000001</v>
      </c>
      <c r="BJ582" s="8">
        <f>_xlfn.IFNA(VLOOKUP(Granger_Inventory[[#This Row],[quality]],Lookups!$H$2:$J$14,3,FALSE),0)</f>
        <v>71767</v>
      </c>
      <c r="BK582" s="8">
        <f>_xlfn.IFNA(VLOOKUP(Granger_Inventory[[#This Row],[condition]],Lookups!$H$17:$J$24,3,FALSE),0)</f>
        <v>101774</v>
      </c>
      <c r="BL582" s="8">
        <f>Granger_Inventory[[#This Row],[Age]]*Lookups!$B$16</f>
        <v>-1036.6554999999998</v>
      </c>
      <c r="BM582" s="8">
        <f>Granger_Inventory[[#This Row],[living_area]]*Lookups!$B$17</f>
        <v>104071.190223</v>
      </c>
      <c r="BN582" s="8">
        <f>(Granger_Inventory[[#This Row],[att_gar]]+Granger_Inventory[[#This Row],[blt_gar]])*Lookups!$B$18</f>
        <v>26743.067472000002</v>
      </c>
      <c r="BO582" s="8">
        <f>Granger_Inventory[[#This Row],[Patio]]*Lookups!$B$19</f>
        <v>0</v>
      </c>
      <c r="BP582" s="8">
        <f>SUM(Granger_Inventory[[#This Row],[Intercept]:[Patio_Value]])*Granger_Inventory[[#This Row],[res_pct]]</f>
        <v>333022.16119500005</v>
      </c>
      <c r="BQ582" s="8">
        <f>Granger_Inventory[[#This Row],[land_value]]</f>
        <v>23128.971718879347</v>
      </c>
      <c r="BR582" s="4">
        <f>_xlfn.IFNA(VLOOKUP(Granger_Inventory[[#This Row],[quality]],Lookups!$A$25:$C$35,3,FALSE),1)</f>
        <v>0.992092799099482</v>
      </c>
      <c r="BS582" s="4">
        <f>_xlfn.IFNA(VLOOKUP(Granger_Inventory[[#This Row],[condition]],Lookups!$A$38:$C$45,3,FALSE),1)</f>
        <v>0.99135053432734199</v>
      </c>
      <c r="BT582" s="4">
        <f>IF(Granger_Inventory[[#This Row],[decade]]="",1,_xlfn.IFNA(VLOOKUP(Granger_Inventory[[#This Row],[decade]],Lookups!$G$28:$I$42,3,FALSE),1))</f>
        <v>0.95532362136731586</v>
      </c>
      <c r="BU582" s="4">
        <f>_xlfn.IFNA(VLOOKUP(Granger_Inventory[[#This Row],[living_area_range]],Lookups!$A$48:$C$57,3,FALSE),1)</f>
        <v>0.97860968051050168</v>
      </c>
      <c r="BV582" s="4">
        <f>AVERAGE(Granger_Inventory[[#This Row],[qual_adj]:[living_range_adj]])</f>
        <v>0.97934415882616044</v>
      </c>
      <c r="BW582" s="8">
        <f>(Granger_Inventory[[#This Row],[sum_land]]-IF(Granger_Inventory[[#This Row],[no_utilities]]=1,12000,0))/IF(Granger_Inventory[[#This Row],[unbuildable]]=1,2,1)</f>
        <v>23128.971718879347</v>
      </c>
      <c r="BX582" s="8">
        <f>Granger_Inventory[[#This Row],[pre_res]]*Granger_Inventory[[#This Row],[overall_adj]]</f>
        <v>326143.30832598731</v>
      </c>
      <c r="BY582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582">
        <f>ROUND(Granger_Inventory[[#This Row],[detatched_value]]*Lookups!$I$45,-2)</f>
        <v>0</v>
      </c>
      <c r="CA582">
        <f>IF(ROUND(Granger_Inventory[[#This Row],[adj_res]]*Lookups!$I$45,-2)&lt;Granger_Inventory[[#This Row],[min_res]],Granger_Inventory[[#This Row],[min_res]],ROUND(Granger_Inventory[[#This Row],[adj_res]]*Lookups!$I$45,-2))</f>
        <v>309800</v>
      </c>
      <c r="CB582">
        <f>Granger_Inventory[[#This Row],[final_det]]+Granger_Inventory[[#This Row],[final_res]]</f>
        <v>309800</v>
      </c>
      <c r="CC582">
        <f>Granger_Inventory[[#This Row],[final_land]]+Granger_Inventory[[#This Row],[final_imp]]+Granger_Inventory[[#This Row],[crop_value]]</f>
        <v>331800</v>
      </c>
      <c r="CE582" t="str">
        <f t="shared" si="9"/>
        <v>update valuation set market_land =22000, market_bldg=309800, market_total =331800, market_mdno =402, market_date ='9/10/2023' where link_id = (select link_id from parcel where parcel_year = '2024' and parcel_id = '21102231426');</v>
      </c>
    </row>
    <row r="583" spans="1:83" x14ac:dyDescent="0.25">
      <c r="A583">
        <v>21102231427</v>
      </c>
      <c r="B583">
        <v>0.17</v>
      </c>
      <c r="C583">
        <v>7491</v>
      </c>
      <c r="D583" t="s">
        <v>137</v>
      </c>
      <c r="E583" t="s">
        <v>54</v>
      </c>
      <c r="F583" t="s">
        <v>54</v>
      </c>
      <c r="G583">
        <v>3</v>
      </c>
      <c r="H583" t="s">
        <v>55</v>
      </c>
      <c r="I583">
        <v>327700</v>
      </c>
      <c r="J583">
        <v>27100</v>
      </c>
      <c r="K583">
        <v>0.17</v>
      </c>
      <c r="L583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583">
        <v>0</v>
      </c>
      <c r="N583">
        <v>0</v>
      </c>
      <c r="O583">
        <v>0</v>
      </c>
      <c r="P583">
        <v>47108.068500000001</v>
      </c>
      <c r="Q583">
        <v>122298</v>
      </c>
      <c r="R583">
        <f>(Granger_Inventory[[#This Row],[ln_acres]]*Granger_Inventory[[#This Row],[coeff]])+Granger_Inventory[[#This Row],[const]]</f>
        <v>38824.535711229546</v>
      </c>
      <c r="S583" t="s">
        <v>59</v>
      </c>
      <c r="T583">
        <v>1</v>
      </c>
      <c r="U583" t="s">
        <v>74</v>
      </c>
      <c r="V583" t="s">
        <v>58</v>
      </c>
      <c r="W583">
        <v>30700</v>
      </c>
      <c r="X583">
        <v>0</v>
      </c>
      <c r="Y583">
        <v>8</v>
      </c>
      <c r="Z583">
        <v>8</v>
      </c>
      <c r="AA583">
        <v>10</v>
      </c>
      <c r="AB583">
        <v>1500</v>
      </c>
      <c r="AC583">
        <v>1498</v>
      </c>
      <c r="AD583">
        <v>1498</v>
      </c>
      <c r="AE583">
        <v>0</v>
      </c>
      <c r="AF583">
        <v>0</v>
      </c>
      <c r="AG583">
        <v>0</v>
      </c>
      <c r="AH583">
        <v>0</v>
      </c>
      <c r="AI583">
        <v>462</v>
      </c>
      <c r="AJ583">
        <v>0</v>
      </c>
      <c r="AK583">
        <v>0</v>
      </c>
      <c r="AL583">
        <v>0</v>
      </c>
      <c r="AM583">
        <v>513</v>
      </c>
      <c r="AN583">
        <v>147</v>
      </c>
      <c r="AO583">
        <v>0</v>
      </c>
      <c r="AP583">
        <v>10</v>
      </c>
      <c r="AQ583">
        <v>0</v>
      </c>
      <c r="AR583">
        <v>0</v>
      </c>
      <c r="AS583" t="s">
        <v>59</v>
      </c>
      <c r="AT583">
        <v>1</v>
      </c>
      <c r="AU583" t="s">
        <v>63</v>
      </c>
      <c r="AV583" t="s">
        <v>65</v>
      </c>
      <c r="AW583">
        <v>1</v>
      </c>
      <c r="AX583">
        <v>3</v>
      </c>
      <c r="AY583">
        <v>0</v>
      </c>
      <c r="AZ583">
        <v>0</v>
      </c>
      <c r="BA583">
        <v>100</v>
      </c>
      <c r="BB583">
        <v>100</v>
      </c>
      <c r="BC583">
        <v>100</v>
      </c>
      <c r="BD583">
        <v>100</v>
      </c>
      <c r="BE583">
        <v>1</v>
      </c>
      <c r="BF583">
        <v>15000</v>
      </c>
      <c r="BG583">
        <v>1000</v>
      </c>
      <c r="BH583" s="8">
        <f>Granger_Inventory[[#This Row],[land_extract]]*Lookups!$B$3</f>
        <v>23128.971718879347</v>
      </c>
      <c r="BI583" s="8">
        <f>IF(Granger_Inventory[[#This Row],[bldg_style]]="",0,Lookups!$B$2)</f>
        <v>29703.559000000001</v>
      </c>
      <c r="BJ583" s="8">
        <f>_xlfn.IFNA(VLOOKUP(Granger_Inventory[[#This Row],[quality]],Lookups!$H$2:$J$14,3,FALSE),0)</f>
        <v>94366</v>
      </c>
      <c r="BK583" s="8">
        <f>_xlfn.IFNA(VLOOKUP(Granger_Inventory[[#This Row],[condition]],Lookups!$H$17:$J$24,3,FALSE),0)</f>
        <v>101774</v>
      </c>
      <c r="BL583" s="8">
        <f>Granger_Inventory[[#This Row],[Age]]*Lookups!$B$16</f>
        <v>-1658.6487999999999</v>
      </c>
      <c r="BM583" s="8">
        <f>Granger_Inventory[[#This Row],[living_area]]*Lookups!$B$17</f>
        <v>100774.81768199999</v>
      </c>
      <c r="BN583" s="8">
        <f>(Granger_Inventory[[#This Row],[att_gar]]+Granger_Inventory[[#This Row],[blt_gar]])*Lookups!$B$18</f>
        <v>22382.784732</v>
      </c>
      <c r="BO583" s="8">
        <f>Granger_Inventory[[#This Row],[Patio]]*Lookups!$B$19</f>
        <v>27863.644247999997</v>
      </c>
      <c r="BP583" s="8">
        <f>SUM(Granger_Inventory[[#This Row],[Intercept]:[Patio_Value]])*Granger_Inventory[[#This Row],[res_pct]]</f>
        <v>375206.156862</v>
      </c>
      <c r="BQ583" s="8">
        <f>Granger_Inventory[[#This Row],[land_value]]</f>
        <v>23128.971718879347</v>
      </c>
      <c r="BR583" s="4">
        <f>_xlfn.IFNA(VLOOKUP(Granger_Inventory[[#This Row],[quality]],Lookups!$A$25:$C$35,3,FALSE),1)</f>
        <v>0.99995754169072248</v>
      </c>
      <c r="BS583" s="4">
        <f>_xlfn.IFNA(VLOOKUP(Granger_Inventory[[#This Row],[condition]],Lookups!$A$38:$C$45,3,FALSE),1)</f>
        <v>0.99135053432734199</v>
      </c>
      <c r="BT583" s="4">
        <f>IF(Granger_Inventory[[#This Row],[decade]]="",1,_xlfn.IFNA(VLOOKUP(Granger_Inventory[[#This Row],[decade]],Lookups!$G$28:$I$42,3,FALSE),1))</f>
        <v>0.95532362136731586</v>
      </c>
      <c r="BU583" s="4">
        <f>_xlfn.IFNA(VLOOKUP(Granger_Inventory[[#This Row],[living_area_range]],Lookups!$A$48:$C$57,3,FALSE),1)</f>
        <v>0.97960506760539345</v>
      </c>
      <c r="BV583" s="4">
        <f>AVERAGE(Granger_Inventory[[#This Row],[qual_adj]:[living_range_adj]])</f>
        <v>0.98155919124769342</v>
      </c>
      <c r="BW583" s="8">
        <f>(Granger_Inventory[[#This Row],[sum_land]]-IF(Granger_Inventory[[#This Row],[no_utilities]]=1,12000,0))/IF(Granger_Inventory[[#This Row],[unbuildable]]=1,2,1)</f>
        <v>23128.971718879347</v>
      </c>
      <c r="BX583" s="8">
        <f>Granger_Inventory[[#This Row],[pre_res]]*Granger_Inventory[[#This Row],[overall_adj]]</f>
        <v>368287.0518806199</v>
      </c>
      <c r="BY583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583">
        <f>ROUND(Granger_Inventory[[#This Row],[detatched_value]]*Lookups!$I$45,-2)</f>
        <v>0</v>
      </c>
      <c r="CA583">
        <f>IF(ROUND(Granger_Inventory[[#This Row],[adj_res]]*Lookups!$I$45,-2)&lt;Granger_Inventory[[#This Row],[min_res]],Granger_Inventory[[#This Row],[min_res]],ROUND(Granger_Inventory[[#This Row],[adj_res]]*Lookups!$I$45,-2))</f>
        <v>349900</v>
      </c>
      <c r="CB583">
        <f>Granger_Inventory[[#This Row],[final_det]]+Granger_Inventory[[#This Row],[final_res]]</f>
        <v>349900</v>
      </c>
      <c r="CC583">
        <f>Granger_Inventory[[#This Row],[final_land]]+Granger_Inventory[[#This Row],[final_imp]]+Granger_Inventory[[#This Row],[crop_value]]</f>
        <v>371900</v>
      </c>
      <c r="CE583" t="str">
        <f t="shared" si="9"/>
        <v>update valuation set market_land =22000, market_bldg=349900, market_total =371900, market_mdno =402, market_date ='9/10/2023' where link_id = (select link_id from parcel where parcel_year = '2024' and parcel_id = '21102231427');</v>
      </c>
    </row>
    <row r="584" spans="1:83" x14ac:dyDescent="0.25">
      <c r="A584">
        <v>21102231428</v>
      </c>
      <c r="B584">
        <v>0.24</v>
      </c>
      <c r="C584">
        <v>10325</v>
      </c>
      <c r="D584" t="s">
        <v>137</v>
      </c>
      <c r="E584" t="s">
        <v>54</v>
      </c>
      <c r="F584" t="s">
        <v>54</v>
      </c>
      <c r="G584">
        <v>3</v>
      </c>
      <c r="H584" t="s">
        <v>55</v>
      </c>
      <c r="I584">
        <v>329200</v>
      </c>
      <c r="J584">
        <v>29100</v>
      </c>
      <c r="K584">
        <v>0.24</v>
      </c>
      <c r="L584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84">
        <v>0</v>
      </c>
      <c r="N584">
        <v>0</v>
      </c>
      <c r="O584">
        <v>0</v>
      </c>
      <c r="P584">
        <v>47108.068500000001</v>
      </c>
      <c r="Q584">
        <v>122298</v>
      </c>
      <c r="R584">
        <f>(Granger_Inventory[[#This Row],[ln_acres]]*Granger_Inventory[[#This Row],[coeff]])+Granger_Inventory[[#This Row],[const]]</f>
        <v>55069.304961033646</v>
      </c>
      <c r="S584" t="s">
        <v>59</v>
      </c>
      <c r="T584">
        <v>1</v>
      </c>
      <c r="U584" t="s">
        <v>61</v>
      </c>
      <c r="V584" t="s">
        <v>58</v>
      </c>
      <c r="W584">
        <v>0</v>
      </c>
      <c r="X584">
        <v>0</v>
      </c>
      <c r="Y584">
        <v>3</v>
      </c>
      <c r="Z584">
        <v>3</v>
      </c>
      <c r="AA584">
        <v>10</v>
      </c>
      <c r="AB584">
        <v>1500</v>
      </c>
      <c r="AC584">
        <v>1482</v>
      </c>
      <c r="AD584">
        <v>1482</v>
      </c>
      <c r="AE584">
        <v>0</v>
      </c>
      <c r="AF584">
        <v>0</v>
      </c>
      <c r="AG584">
        <v>0</v>
      </c>
      <c r="AH584">
        <v>0</v>
      </c>
      <c r="AI584">
        <v>462</v>
      </c>
      <c r="AJ584">
        <v>0</v>
      </c>
      <c r="AK584">
        <v>0</v>
      </c>
      <c r="AL584">
        <v>0</v>
      </c>
      <c r="AM584">
        <v>0</v>
      </c>
      <c r="AN584">
        <v>126</v>
      </c>
      <c r="AO584">
        <v>0</v>
      </c>
      <c r="AP584">
        <v>10</v>
      </c>
      <c r="AQ584">
        <v>0</v>
      </c>
      <c r="AR584">
        <v>0</v>
      </c>
      <c r="AS584" t="s">
        <v>59</v>
      </c>
      <c r="AT584">
        <v>1</v>
      </c>
      <c r="AU584" t="s">
        <v>63</v>
      </c>
      <c r="AV584" t="s">
        <v>65</v>
      </c>
      <c r="AW584">
        <v>1</v>
      </c>
      <c r="AX584">
        <v>3</v>
      </c>
      <c r="AY584">
        <v>0</v>
      </c>
      <c r="AZ584">
        <v>0</v>
      </c>
      <c r="BA584">
        <v>100</v>
      </c>
      <c r="BB584">
        <v>100</v>
      </c>
      <c r="BC584">
        <v>100</v>
      </c>
      <c r="BD584">
        <v>100</v>
      </c>
      <c r="BE584">
        <v>1</v>
      </c>
      <c r="BF584">
        <v>15000</v>
      </c>
      <c r="BG584">
        <v>1000</v>
      </c>
      <c r="BH584" s="8">
        <f>Granger_Inventory[[#This Row],[land_extract]]*Lookups!$B$3</f>
        <v>32806.481099880541</v>
      </c>
      <c r="BI584" s="8">
        <f>IF(Granger_Inventory[[#This Row],[bldg_style]]="",0,Lookups!$B$2)</f>
        <v>29703.559000000001</v>
      </c>
      <c r="BJ584" s="8">
        <f>_xlfn.IFNA(VLOOKUP(Granger_Inventory[[#This Row],[quality]],Lookups!$H$2:$J$14,3,FALSE),0)</f>
        <v>71767</v>
      </c>
      <c r="BK584" s="8">
        <f>_xlfn.IFNA(VLOOKUP(Granger_Inventory[[#This Row],[condition]],Lookups!$H$17:$J$24,3,FALSE),0)</f>
        <v>101774</v>
      </c>
      <c r="BL584" s="8">
        <f>Granger_Inventory[[#This Row],[Age]]*Lookups!$B$16</f>
        <v>-621.99329999999998</v>
      </c>
      <c r="BM584" s="8">
        <f>Granger_Inventory[[#This Row],[living_area]]*Lookups!$B$17</f>
        <v>99698.451138000004</v>
      </c>
      <c r="BN584" s="8">
        <f>(Granger_Inventory[[#This Row],[att_gar]]+Granger_Inventory[[#This Row],[blt_gar]])*Lookups!$B$18</f>
        <v>22382.784732</v>
      </c>
      <c r="BO584" s="8">
        <f>Granger_Inventory[[#This Row],[Patio]]*Lookups!$B$19</f>
        <v>0</v>
      </c>
      <c r="BP584" s="8">
        <f>SUM(Granger_Inventory[[#This Row],[Intercept]:[Patio_Value]])*Granger_Inventory[[#This Row],[res_pct]]</f>
        <v>324703.80157000001</v>
      </c>
      <c r="BQ584" s="8">
        <f>Granger_Inventory[[#This Row],[land_value]]</f>
        <v>32806.481099880541</v>
      </c>
      <c r="BR584" s="4">
        <f>_xlfn.IFNA(VLOOKUP(Granger_Inventory[[#This Row],[quality]],Lookups!$A$25:$C$35,3,FALSE),1)</f>
        <v>0.992092799099482</v>
      </c>
      <c r="BS584" s="4">
        <f>_xlfn.IFNA(VLOOKUP(Granger_Inventory[[#This Row],[condition]],Lookups!$A$38:$C$45,3,FALSE),1)</f>
        <v>0.99135053432734199</v>
      </c>
      <c r="BT584" s="4">
        <f>IF(Granger_Inventory[[#This Row],[decade]]="",1,_xlfn.IFNA(VLOOKUP(Granger_Inventory[[#This Row],[decade]],Lookups!$G$28:$I$42,3,FALSE),1))</f>
        <v>0.95532362136731586</v>
      </c>
      <c r="BU584" s="4">
        <f>_xlfn.IFNA(VLOOKUP(Granger_Inventory[[#This Row],[living_area_range]],Lookups!$A$48:$C$57,3,FALSE),1)</f>
        <v>0.97960506760539345</v>
      </c>
      <c r="BV584" s="4">
        <f>AVERAGE(Granger_Inventory[[#This Row],[qual_adj]:[living_range_adj]])</f>
        <v>0.97959300559988338</v>
      </c>
      <c r="BW584" s="8">
        <f>(Granger_Inventory[[#This Row],[sum_land]]-IF(Granger_Inventory[[#This Row],[no_utilities]]=1,12000,0))/IF(Granger_Inventory[[#This Row],[unbuildable]]=1,2,1)</f>
        <v>32806.481099880541</v>
      </c>
      <c r="BX584" s="8">
        <f>Granger_Inventory[[#This Row],[pre_res]]*Granger_Inventory[[#This Row],[overall_adj]]</f>
        <v>318077.57290966442</v>
      </c>
      <c r="BY584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84">
        <f>ROUND(Granger_Inventory[[#This Row],[detatched_value]]*Lookups!$I$45,-2)</f>
        <v>0</v>
      </c>
      <c r="CA584">
        <f>IF(ROUND(Granger_Inventory[[#This Row],[adj_res]]*Lookups!$I$45,-2)&lt;Granger_Inventory[[#This Row],[min_res]],Granger_Inventory[[#This Row],[min_res]],ROUND(Granger_Inventory[[#This Row],[adj_res]]*Lookups!$I$45,-2))</f>
        <v>302200</v>
      </c>
      <c r="CB584">
        <f>Granger_Inventory[[#This Row],[final_det]]+Granger_Inventory[[#This Row],[final_res]]</f>
        <v>302200</v>
      </c>
      <c r="CC584">
        <f>Granger_Inventory[[#This Row],[final_land]]+Granger_Inventory[[#This Row],[final_imp]]+Granger_Inventory[[#This Row],[crop_value]]</f>
        <v>333400</v>
      </c>
      <c r="CE584" t="str">
        <f t="shared" si="9"/>
        <v>update valuation set market_land =31200, market_bldg=302200, market_total =333400, market_mdno =402, market_date ='9/10/2023' where link_id = (select link_id from parcel where parcel_year = '2024' and parcel_id = '21102231428');</v>
      </c>
    </row>
    <row r="585" spans="1:83" x14ac:dyDescent="0.25">
      <c r="A585">
        <v>21102231432</v>
      </c>
      <c r="B585">
        <v>0.27</v>
      </c>
      <c r="C585">
        <v>11752</v>
      </c>
      <c r="D585" t="s">
        <v>137</v>
      </c>
      <c r="E585" t="s">
        <v>54</v>
      </c>
      <c r="F585" t="s">
        <v>54</v>
      </c>
      <c r="G585">
        <v>3</v>
      </c>
      <c r="H585" t="s">
        <v>55</v>
      </c>
      <c r="I585">
        <v>352100</v>
      </c>
      <c r="J585">
        <v>29800</v>
      </c>
      <c r="K585">
        <v>0.27</v>
      </c>
      <c r="L585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585">
        <v>0</v>
      </c>
      <c r="N585">
        <v>0</v>
      </c>
      <c r="O585">
        <v>0</v>
      </c>
      <c r="P585">
        <v>47108.068500000001</v>
      </c>
      <c r="Q585">
        <v>122298</v>
      </c>
      <c r="R585">
        <f>(Granger_Inventory[[#This Row],[ln_acres]]*Granger_Inventory[[#This Row],[coeff]])+Granger_Inventory[[#This Row],[const]]</f>
        <v>60617.836272872511</v>
      </c>
      <c r="S585" t="s">
        <v>59</v>
      </c>
      <c r="T585">
        <v>1</v>
      </c>
      <c r="U585" t="s">
        <v>57</v>
      </c>
      <c r="V585" t="s">
        <v>70</v>
      </c>
      <c r="W585">
        <v>0</v>
      </c>
      <c r="X585">
        <v>0</v>
      </c>
      <c r="Y585">
        <v>5</v>
      </c>
      <c r="Z585">
        <v>5</v>
      </c>
      <c r="AA585">
        <v>10</v>
      </c>
      <c r="AB585">
        <v>2000</v>
      </c>
      <c r="AC585">
        <v>1940</v>
      </c>
      <c r="AD585">
        <v>1940</v>
      </c>
      <c r="AE585">
        <v>0</v>
      </c>
      <c r="AF585">
        <v>0</v>
      </c>
      <c r="AG585">
        <v>0</v>
      </c>
      <c r="AH585">
        <v>0</v>
      </c>
      <c r="AI585">
        <v>528</v>
      </c>
      <c r="AJ585">
        <v>0</v>
      </c>
      <c r="AK585">
        <v>0</v>
      </c>
      <c r="AL585">
        <v>0</v>
      </c>
      <c r="AM585">
        <v>0</v>
      </c>
      <c r="AN585">
        <v>314</v>
      </c>
      <c r="AO585">
        <v>0</v>
      </c>
      <c r="AP585">
        <v>10</v>
      </c>
      <c r="AQ585">
        <v>0</v>
      </c>
      <c r="AR585">
        <v>0</v>
      </c>
      <c r="AS585" t="s">
        <v>59</v>
      </c>
      <c r="AT585">
        <v>1</v>
      </c>
      <c r="AU585" t="s">
        <v>63</v>
      </c>
      <c r="AV585" t="s">
        <v>65</v>
      </c>
      <c r="AW585">
        <v>1</v>
      </c>
      <c r="AX585">
        <v>3</v>
      </c>
      <c r="AY585">
        <v>0</v>
      </c>
      <c r="AZ585">
        <v>0</v>
      </c>
      <c r="BA585">
        <v>100</v>
      </c>
      <c r="BB585">
        <v>100</v>
      </c>
      <c r="BC585">
        <v>100</v>
      </c>
      <c r="BD585">
        <v>100</v>
      </c>
      <c r="BE585">
        <v>1</v>
      </c>
      <c r="BF585">
        <v>15000</v>
      </c>
      <c r="BG585">
        <v>1000</v>
      </c>
      <c r="BH585" s="8">
        <f>Granger_Inventory[[#This Row],[land_extract]]*Lookups!$B$3</f>
        <v>36111.912097107357</v>
      </c>
      <c r="BI585" s="8">
        <f>IF(Granger_Inventory[[#This Row],[bldg_style]]="",0,Lookups!$B$2)</f>
        <v>29703.559000000001</v>
      </c>
      <c r="BJ585" s="8">
        <f>_xlfn.IFNA(VLOOKUP(Granger_Inventory[[#This Row],[quality]],Lookups!$H$2:$J$14,3,FALSE),0)</f>
        <v>56414</v>
      </c>
      <c r="BK585" s="8">
        <f>_xlfn.IFNA(VLOOKUP(Granger_Inventory[[#This Row],[condition]],Lookups!$H$17:$J$24,3,FALSE),0)</f>
        <v>80695</v>
      </c>
      <c r="BL585" s="8">
        <f>Granger_Inventory[[#This Row],[Age]]*Lookups!$B$16</f>
        <v>-1036.6554999999998</v>
      </c>
      <c r="BM585" s="8">
        <f>Granger_Inventory[[#This Row],[living_area]]*Lookups!$B$17</f>
        <v>130509.44345999999</v>
      </c>
      <c r="BN585" s="8">
        <f>(Granger_Inventory[[#This Row],[att_gar]]+Granger_Inventory[[#This Row],[blt_gar]])*Lookups!$B$18</f>
        <v>25580.325408000001</v>
      </c>
      <c r="BO585" s="8">
        <f>Granger_Inventory[[#This Row],[Patio]]*Lookups!$B$19</f>
        <v>0</v>
      </c>
      <c r="BP585" s="8">
        <f>SUM(Granger_Inventory[[#This Row],[Intercept]:[Patio_Value]])*Granger_Inventory[[#This Row],[res_pct]]</f>
        <v>321865.67236799997</v>
      </c>
      <c r="BQ585" s="8">
        <f>Granger_Inventory[[#This Row],[land_value]]</f>
        <v>36111.912097107357</v>
      </c>
      <c r="BR585" s="4">
        <f>_xlfn.IFNA(VLOOKUP(Granger_Inventory[[#This Row],[quality]],Lookups!$A$25:$C$35,3,FALSE),1)</f>
        <v>0.98791809110152173</v>
      </c>
      <c r="BS585" s="4">
        <f>_xlfn.IFNA(VLOOKUP(Granger_Inventory[[#This Row],[condition]],Lookups!$A$38:$C$45,3,FALSE),1)</f>
        <v>0.99484195314749324</v>
      </c>
      <c r="BT585" s="4">
        <f>IF(Granger_Inventory[[#This Row],[decade]]="",1,_xlfn.IFNA(VLOOKUP(Granger_Inventory[[#This Row],[decade]],Lookups!$G$28:$I$42,3,FALSE),1))</f>
        <v>0.95532362136731586</v>
      </c>
      <c r="BU585" s="4">
        <f>_xlfn.IFNA(VLOOKUP(Granger_Inventory[[#This Row],[living_area_range]],Lookups!$A$48:$C$57,3,FALSE),1)</f>
        <v>0.97860968051050168</v>
      </c>
      <c r="BV585" s="4">
        <f>AVERAGE(Granger_Inventory[[#This Row],[qual_adj]:[living_range_adj]])</f>
        <v>0.97917333653170813</v>
      </c>
      <c r="BW585" s="8">
        <f>(Granger_Inventory[[#This Row],[sum_land]]-IF(Granger_Inventory[[#This Row],[no_utilities]]=1,12000,0))/IF(Granger_Inventory[[#This Row],[unbuildable]]=1,2,1)</f>
        <v>36111.912097107357</v>
      </c>
      <c r="BX585" s="8">
        <f>Granger_Inventory[[#This Row],[pre_res]]*Granger_Inventory[[#This Row],[overall_adj]]</f>
        <v>315162.28432759613</v>
      </c>
      <c r="BY585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585">
        <f>ROUND(Granger_Inventory[[#This Row],[detatched_value]]*Lookups!$I$45,-2)</f>
        <v>0</v>
      </c>
      <c r="CA585">
        <f>IF(ROUND(Granger_Inventory[[#This Row],[adj_res]]*Lookups!$I$45,-2)&lt;Granger_Inventory[[#This Row],[min_res]],Granger_Inventory[[#This Row],[min_res]],ROUND(Granger_Inventory[[#This Row],[adj_res]]*Lookups!$I$45,-2))</f>
        <v>299400</v>
      </c>
      <c r="CB585">
        <f>Granger_Inventory[[#This Row],[final_det]]+Granger_Inventory[[#This Row],[final_res]]</f>
        <v>299400</v>
      </c>
      <c r="CC585">
        <f>Granger_Inventory[[#This Row],[final_land]]+Granger_Inventory[[#This Row],[final_imp]]+Granger_Inventory[[#This Row],[crop_value]]</f>
        <v>333700</v>
      </c>
      <c r="CE585" t="str">
        <f t="shared" si="9"/>
        <v>update valuation set market_land =34300, market_bldg=299400, market_total =333700, market_mdno =402, market_date ='9/10/2023' where link_id = (select link_id from parcel where parcel_year = '2024' and parcel_id = '21102231432');</v>
      </c>
    </row>
    <row r="586" spans="1:83" x14ac:dyDescent="0.25">
      <c r="A586">
        <v>21102231433</v>
      </c>
      <c r="B586">
        <v>0.3</v>
      </c>
      <c r="C586">
        <v>12907</v>
      </c>
      <c r="D586" t="s">
        <v>137</v>
      </c>
      <c r="E586" t="s">
        <v>54</v>
      </c>
      <c r="F586" t="s">
        <v>54</v>
      </c>
      <c r="G586">
        <v>3</v>
      </c>
      <c r="H586" t="s">
        <v>55</v>
      </c>
      <c r="I586">
        <v>290700</v>
      </c>
      <c r="J586">
        <v>30400</v>
      </c>
      <c r="K586">
        <v>0.3</v>
      </c>
      <c r="L586">
        <f>IF(Granger_Inventory[[#This Row],[parcel_acres]]-Granger_Inventory[[#This Row],[non_valued_acres]] =0,0,LN(Granger_Inventory[[#This Row],[parcel_acres]]-Granger_Inventory[[#This Row],[non_valued_acres]]))</f>
        <v>-1.2039728043259361</v>
      </c>
      <c r="M586">
        <v>0</v>
      </c>
      <c r="N586">
        <v>0</v>
      </c>
      <c r="O586">
        <v>0</v>
      </c>
      <c r="P586">
        <v>47108.068500000001</v>
      </c>
      <c r="Q586">
        <v>122298</v>
      </c>
      <c r="R586">
        <f>(Granger_Inventory[[#This Row],[ln_acres]]*Granger_Inventory[[#This Row],[coeff]])+Granger_Inventory[[#This Row],[const]]</f>
        <v>65581.166661676703</v>
      </c>
      <c r="S586" t="s">
        <v>56</v>
      </c>
      <c r="T586">
        <v>1</v>
      </c>
      <c r="U586" t="s">
        <v>57</v>
      </c>
      <c r="V586" t="s">
        <v>58</v>
      </c>
      <c r="W586">
        <v>0</v>
      </c>
      <c r="X586">
        <v>0</v>
      </c>
      <c r="Y586">
        <v>8</v>
      </c>
      <c r="Z586">
        <v>8</v>
      </c>
      <c r="AA586">
        <v>10</v>
      </c>
      <c r="AB586">
        <v>2000</v>
      </c>
      <c r="AC586">
        <v>1591</v>
      </c>
      <c r="AD586">
        <v>1591</v>
      </c>
      <c r="AE586">
        <v>0</v>
      </c>
      <c r="AF586">
        <v>0</v>
      </c>
      <c r="AG586">
        <v>0</v>
      </c>
      <c r="AH586">
        <v>0</v>
      </c>
      <c r="AI586">
        <v>462</v>
      </c>
      <c r="AJ586">
        <v>0</v>
      </c>
      <c r="AK586">
        <v>0</v>
      </c>
      <c r="AL586">
        <v>0</v>
      </c>
      <c r="AM586">
        <v>160</v>
      </c>
      <c r="AN586">
        <v>146</v>
      </c>
      <c r="AO586">
        <v>0</v>
      </c>
      <c r="AP586">
        <v>9</v>
      </c>
      <c r="AQ586">
        <v>0</v>
      </c>
      <c r="AR586">
        <v>0</v>
      </c>
      <c r="AS586" t="s">
        <v>59</v>
      </c>
      <c r="AT586">
        <v>1</v>
      </c>
      <c r="AU586" t="s">
        <v>63</v>
      </c>
      <c r="AV586" t="s">
        <v>65</v>
      </c>
      <c r="AW586">
        <v>1</v>
      </c>
      <c r="AX586">
        <v>3</v>
      </c>
      <c r="AY586">
        <v>0</v>
      </c>
      <c r="AZ586">
        <v>0</v>
      </c>
      <c r="BA586">
        <v>100</v>
      </c>
      <c r="BB586">
        <v>100</v>
      </c>
      <c r="BC586">
        <v>100</v>
      </c>
      <c r="BD586">
        <v>100</v>
      </c>
      <c r="BE586">
        <v>1</v>
      </c>
      <c r="BF586">
        <v>15000</v>
      </c>
      <c r="BG586">
        <v>1000</v>
      </c>
      <c r="BH586" s="8">
        <f>Granger_Inventory[[#This Row],[land_extract]]*Lookups!$B$3</f>
        <v>39068.720880293993</v>
      </c>
      <c r="BI586" s="8">
        <f>IF(Granger_Inventory[[#This Row],[bldg_style]]="",0,Lookups!$B$2)</f>
        <v>29703.559000000001</v>
      </c>
      <c r="BJ586" s="8">
        <f>_xlfn.IFNA(VLOOKUP(Granger_Inventory[[#This Row],[quality]],Lookups!$H$2:$J$14,3,FALSE),0)</f>
        <v>56414</v>
      </c>
      <c r="BK586" s="8">
        <f>_xlfn.IFNA(VLOOKUP(Granger_Inventory[[#This Row],[condition]],Lookups!$H$17:$J$24,3,FALSE),0)</f>
        <v>101774</v>
      </c>
      <c r="BL586" s="8">
        <f>Granger_Inventory[[#This Row],[Age]]*Lookups!$B$16</f>
        <v>-1658.6487999999999</v>
      </c>
      <c r="BM586" s="8">
        <f>Granger_Inventory[[#This Row],[living_area]]*Lookups!$B$17</f>
        <v>107031.198219</v>
      </c>
      <c r="BN586" s="8">
        <f>(Granger_Inventory[[#This Row],[att_gar]]+Granger_Inventory[[#This Row],[blt_gar]])*Lookups!$B$18</f>
        <v>22382.784732</v>
      </c>
      <c r="BO586" s="8">
        <f>Granger_Inventory[[#This Row],[Patio]]*Lookups!$B$19</f>
        <v>8690.4153599999991</v>
      </c>
      <c r="BP586" s="8">
        <f>SUM(Granger_Inventory[[#This Row],[Intercept]:[Patio_Value]])*Granger_Inventory[[#This Row],[res_pct]]</f>
        <v>324337.30851100001</v>
      </c>
      <c r="BQ586" s="8">
        <f>Granger_Inventory[[#This Row],[land_value]]</f>
        <v>39068.720880293993</v>
      </c>
      <c r="BR586" s="4">
        <f>_xlfn.IFNA(VLOOKUP(Granger_Inventory[[#This Row],[quality]],Lookups!$A$25:$C$35,3,FALSE),1)</f>
        <v>0.98791809110152173</v>
      </c>
      <c r="BS586" s="4">
        <f>_xlfn.IFNA(VLOOKUP(Granger_Inventory[[#This Row],[condition]],Lookups!$A$38:$C$45,3,FALSE),1)</f>
        <v>0.99135053432734199</v>
      </c>
      <c r="BT586" s="4">
        <f>IF(Granger_Inventory[[#This Row],[decade]]="",1,_xlfn.IFNA(VLOOKUP(Granger_Inventory[[#This Row],[decade]],Lookups!$G$28:$I$42,3,FALSE),1))</f>
        <v>0.95532362136731586</v>
      </c>
      <c r="BU586" s="4">
        <f>_xlfn.IFNA(VLOOKUP(Granger_Inventory[[#This Row],[living_area_range]],Lookups!$A$48:$C$57,3,FALSE),1)</f>
        <v>0.97860968051050168</v>
      </c>
      <c r="BV586" s="4">
        <f>AVERAGE(Granger_Inventory[[#This Row],[qual_adj]:[living_range_adj]])</f>
        <v>0.97830048182667029</v>
      </c>
      <c r="BW586" s="8">
        <f>(Granger_Inventory[[#This Row],[sum_land]]-IF(Granger_Inventory[[#This Row],[no_utilities]]=1,12000,0))/IF(Granger_Inventory[[#This Row],[unbuildable]]=1,2,1)</f>
        <v>39068.720880293993</v>
      </c>
      <c r="BX586" s="8">
        <f>Granger_Inventory[[#This Row],[pre_res]]*Granger_Inventory[[#This Row],[overall_adj]]</f>
        <v>317299.34519067674</v>
      </c>
      <c r="BY586">
        <f>IF(ROUND(Granger_Inventory[[#This Row],[adj_land]]*Lookups!$I$45,-2)&lt;Granger_Inventory[[#This Row],[min_land]],Granger_Inventory[[#This Row],[min_land]],ROUND(Granger_Inventory[[#This Row],[adj_land]]*Lookups!$I$45,-2))</f>
        <v>37100</v>
      </c>
      <c r="BZ586">
        <f>ROUND(Granger_Inventory[[#This Row],[detatched_value]]*Lookups!$I$45,-2)</f>
        <v>0</v>
      </c>
      <c r="CA586">
        <f>IF(ROUND(Granger_Inventory[[#This Row],[adj_res]]*Lookups!$I$45,-2)&lt;Granger_Inventory[[#This Row],[min_res]],Granger_Inventory[[#This Row],[min_res]],ROUND(Granger_Inventory[[#This Row],[adj_res]]*Lookups!$I$45,-2))</f>
        <v>301400</v>
      </c>
      <c r="CB586">
        <f>Granger_Inventory[[#This Row],[final_det]]+Granger_Inventory[[#This Row],[final_res]]</f>
        <v>301400</v>
      </c>
      <c r="CC586">
        <f>Granger_Inventory[[#This Row],[final_land]]+Granger_Inventory[[#This Row],[final_imp]]+Granger_Inventory[[#This Row],[crop_value]]</f>
        <v>338500</v>
      </c>
      <c r="CE586" t="str">
        <f t="shared" si="9"/>
        <v>update valuation set market_land =37100, market_bldg=301400, market_total =338500, market_mdno =402, market_date ='9/10/2023' where link_id = (select link_id from parcel where parcel_year = '2024' and parcel_id = '21102231433');</v>
      </c>
    </row>
    <row r="587" spans="1:83" x14ac:dyDescent="0.25">
      <c r="A587">
        <v>21102231434</v>
      </c>
      <c r="B587">
        <v>0.23</v>
      </c>
      <c r="C587">
        <v>9981</v>
      </c>
      <c r="D587" t="s">
        <v>137</v>
      </c>
      <c r="E587" t="s">
        <v>54</v>
      </c>
      <c r="F587" t="s">
        <v>54</v>
      </c>
      <c r="G587">
        <v>3</v>
      </c>
      <c r="H587" t="s">
        <v>55</v>
      </c>
      <c r="I587">
        <v>355300</v>
      </c>
      <c r="J587">
        <v>28900</v>
      </c>
      <c r="K587">
        <v>0.23</v>
      </c>
      <c r="L587">
        <f>IF(Granger_Inventory[[#This Row],[parcel_acres]]-Granger_Inventory[[#This Row],[non_valued_acres]] =0,0,LN(Granger_Inventory[[#This Row],[parcel_acres]]-Granger_Inventory[[#This Row],[non_valued_acres]]))</f>
        <v>-1.4696759700589417</v>
      </c>
      <c r="M587">
        <v>0</v>
      </c>
      <c r="N587">
        <v>0</v>
      </c>
      <c r="O587">
        <v>0</v>
      </c>
      <c r="P587">
        <v>47108.068500000001</v>
      </c>
      <c r="Q587">
        <v>122298</v>
      </c>
      <c r="R587">
        <f>(Granger_Inventory[[#This Row],[ln_acres]]*Granger_Inventory[[#This Row],[coeff]])+Granger_Inventory[[#This Row],[const]]</f>
        <v>53064.403729659418</v>
      </c>
      <c r="S587" t="s">
        <v>59</v>
      </c>
      <c r="T587">
        <v>1</v>
      </c>
      <c r="U587" t="s">
        <v>61</v>
      </c>
      <c r="V587" t="s">
        <v>58</v>
      </c>
      <c r="W587">
        <v>0</v>
      </c>
      <c r="X587">
        <v>0</v>
      </c>
      <c r="Y587">
        <v>8</v>
      </c>
      <c r="Z587">
        <v>8</v>
      </c>
      <c r="AA587">
        <v>10</v>
      </c>
      <c r="AB587">
        <v>2000</v>
      </c>
      <c r="AC587">
        <v>1816</v>
      </c>
      <c r="AD587">
        <v>1816</v>
      </c>
      <c r="AE587">
        <v>0</v>
      </c>
      <c r="AF587">
        <v>0</v>
      </c>
      <c r="AG587">
        <v>0</v>
      </c>
      <c r="AH587">
        <v>0</v>
      </c>
      <c r="AI587">
        <v>506</v>
      </c>
      <c r="AJ587">
        <v>0</v>
      </c>
      <c r="AK587">
        <v>0</v>
      </c>
      <c r="AL587">
        <v>0</v>
      </c>
      <c r="AM587">
        <v>120</v>
      </c>
      <c r="AN587">
        <v>85</v>
      </c>
      <c r="AO587">
        <v>0</v>
      </c>
      <c r="AP587">
        <v>10</v>
      </c>
      <c r="AQ587">
        <v>0</v>
      </c>
      <c r="AR587">
        <v>0</v>
      </c>
      <c r="AS587" t="s">
        <v>59</v>
      </c>
      <c r="AT587">
        <v>1</v>
      </c>
      <c r="AU587" t="s">
        <v>63</v>
      </c>
      <c r="AV587" t="s">
        <v>65</v>
      </c>
      <c r="AW587">
        <v>1</v>
      </c>
      <c r="AX587">
        <v>3</v>
      </c>
      <c r="AY587">
        <v>0</v>
      </c>
      <c r="AZ587">
        <v>0</v>
      </c>
      <c r="BA587">
        <v>100</v>
      </c>
      <c r="BB587">
        <v>100</v>
      </c>
      <c r="BC587">
        <v>100</v>
      </c>
      <c r="BD587">
        <v>100</v>
      </c>
      <c r="BE587">
        <v>1</v>
      </c>
      <c r="BF587">
        <v>15000</v>
      </c>
      <c r="BG587">
        <v>1000</v>
      </c>
      <c r="BH587" s="8">
        <f>Granger_Inventory[[#This Row],[land_extract]]*Lookups!$B$3</f>
        <v>31612.09968539299</v>
      </c>
      <c r="BI587" s="8">
        <f>IF(Granger_Inventory[[#This Row],[bldg_style]]="",0,Lookups!$B$2)</f>
        <v>29703.559000000001</v>
      </c>
      <c r="BJ587" s="8">
        <f>_xlfn.IFNA(VLOOKUP(Granger_Inventory[[#This Row],[quality]],Lookups!$H$2:$J$14,3,FALSE),0)</f>
        <v>71767</v>
      </c>
      <c r="BK587" s="8">
        <f>_xlfn.IFNA(VLOOKUP(Granger_Inventory[[#This Row],[condition]],Lookups!$H$17:$J$24,3,FALSE),0)</f>
        <v>101774</v>
      </c>
      <c r="BL587" s="8">
        <f>Granger_Inventory[[#This Row],[Age]]*Lookups!$B$16</f>
        <v>-1658.6487999999999</v>
      </c>
      <c r="BM587" s="8">
        <f>Granger_Inventory[[#This Row],[living_area]]*Lookups!$B$17</f>
        <v>122167.602744</v>
      </c>
      <c r="BN587" s="8">
        <f>(Granger_Inventory[[#This Row],[att_gar]]+Granger_Inventory[[#This Row],[blt_gar]])*Lookups!$B$18</f>
        <v>24514.478515999999</v>
      </c>
      <c r="BO587" s="8">
        <f>Granger_Inventory[[#This Row],[Patio]]*Lookups!$B$19</f>
        <v>6517.8115199999993</v>
      </c>
      <c r="BP587" s="8">
        <f>SUM(Granger_Inventory[[#This Row],[Intercept]:[Patio_Value]])*Granger_Inventory[[#This Row],[res_pct]]</f>
        <v>354785.80297999998</v>
      </c>
      <c r="BQ587" s="8">
        <f>Granger_Inventory[[#This Row],[land_value]]</f>
        <v>31612.09968539299</v>
      </c>
      <c r="BR587" s="4">
        <f>_xlfn.IFNA(VLOOKUP(Granger_Inventory[[#This Row],[quality]],Lookups!$A$25:$C$35,3,FALSE),1)</f>
        <v>0.992092799099482</v>
      </c>
      <c r="BS587" s="4">
        <f>_xlfn.IFNA(VLOOKUP(Granger_Inventory[[#This Row],[condition]],Lookups!$A$38:$C$45,3,FALSE),1)</f>
        <v>0.99135053432734199</v>
      </c>
      <c r="BT587" s="4">
        <f>IF(Granger_Inventory[[#This Row],[decade]]="",1,_xlfn.IFNA(VLOOKUP(Granger_Inventory[[#This Row],[decade]],Lookups!$G$28:$I$42,3,FALSE),1))</f>
        <v>0.95532362136731586</v>
      </c>
      <c r="BU587" s="4">
        <f>_xlfn.IFNA(VLOOKUP(Granger_Inventory[[#This Row],[living_area_range]],Lookups!$A$48:$C$57,3,FALSE),1)</f>
        <v>0.97860968051050168</v>
      </c>
      <c r="BV587" s="4">
        <f>AVERAGE(Granger_Inventory[[#This Row],[qual_adj]:[living_range_adj]])</f>
        <v>0.97934415882616044</v>
      </c>
      <c r="BW587" s="8">
        <f>(Granger_Inventory[[#This Row],[sum_land]]-IF(Granger_Inventory[[#This Row],[no_utilities]]=1,12000,0))/IF(Granger_Inventory[[#This Row],[unbuildable]]=1,2,1)</f>
        <v>31612.09968539299</v>
      </c>
      <c r="BX587" s="8">
        <f>Granger_Inventory[[#This Row],[pre_res]]*Granger_Inventory[[#This Row],[overall_adj]]</f>
        <v>347457.40378291195</v>
      </c>
      <c r="BY587">
        <f>IF(ROUND(Granger_Inventory[[#This Row],[adj_land]]*Lookups!$I$45,-2)&lt;Granger_Inventory[[#This Row],[min_land]],Granger_Inventory[[#This Row],[min_land]],ROUND(Granger_Inventory[[#This Row],[adj_land]]*Lookups!$I$45,-2))</f>
        <v>30000</v>
      </c>
      <c r="BZ587">
        <f>ROUND(Granger_Inventory[[#This Row],[detatched_value]]*Lookups!$I$45,-2)</f>
        <v>0</v>
      </c>
      <c r="CA587">
        <f>IF(ROUND(Granger_Inventory[[#This Row],[adj_res]]*Lookups!$I$45,-2)&lt;Granger_Inventory[[#This Row],[min_res]],Granger_Inventory[[#This Row],[min_res]],ROUND(Granger_Inventory[[#This Row],[adj_res]]*Lookups!$I$45,-2))</f>
        <v>330100</v>
      </c>
      <c r="CB587">
        <f>Granger_Inventory[[#This Row],[final_det]]+Granger_Inventory[[#This Row],[final_res]]</f>
        <v>330100</v>
      </c>
      <c r="CC587">
        <f>Granger_Inventory[[#This Row],[final_land]]+Granger_Inventory[[#This Row],[final_imp]]+Granger_Inventory[[#This Row],[crop_value]]</f>
        <v>360100</v>
      </c>
      <c r="CE587" t="str">
        <f t="shared" si="9"/>
        <v>update valuation set market_land =30000, market_bldg=330100, market_total =360100, market_mdno =402, market_date ='9/10/2023' where link_id = (select link_id from parcel where parcel_year = '2024' and parcel_id = '21102231434');</v>
      </c>
    </row>
    <row r="588" spans="1:83" x14ac:dyDescent="0.25">
      <c r="A588">
        <v>21102231435</v>
      </c>
      <c r="B588">
        <v>0.24</v>
      </c>
      <c r="C588">
        <v>10592</v>
      </c>
      <c r="D588" t="s">
        <v>137</v>
      </c>
      <c r="E588" t="s">
        <v>54</v>
      </c>
      <c r="F588" t="s">
        <v>54</v>
      </c>
      <c r="G588">
        <v>3</v>
      </c>
      <c r="H588" t="s">
        <v>55</v>
      </c>
      <c r="I588">
        <v>396500</v>
      </c>
      <c r="J588">
        <v>29100</v>
      </c>
      <c r="K588">
        <v>0.24</v>
      </c>
      <c r="L588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88">
        <v>0</v>
      </c>
      <c r="N588">
        <v>0</v>
      </c>
      <c r="O588">
        <v>0</v>
      </c>
      <c r="P588">
        <v>47108.068500000001</v>
      </c>
      <c r="Q588">
        <v>122298</v>
      </c>
      <c r="R588">
        <f>(Granger_Inventory[[#This Row],[ln_acres]]*Granger_Inventory[[#This Row],[coeff]])+Granger_Inventory[[#This Row],[const]]</f>
        <v>55069.304961033646</v>
      </c>
      <c r="S588" t="s">
        <v>59</v>
      </c>
      <c r="T588">
        <v>1</v>
      </c>
      <c r="U588" t="s">
        <v>61</v>
      </c>
      <c r="V588" t="s">
        <v>58</v>
      </c>
      <c r="W588">
        <v>0</v>
      </c>
      <c r="X588">
        <v>0</v>
      </c>
      <c r="Y588">
        <v>3</v>
      </c>
      <c r="Z588">
        <v>3</v>
      </c>
      <c r="AA588">
        <v>10</v>
      </c>
      <c r="AB588">
        <v>2500</v>
      </c>
      <c r="AC588">
        <v>2294</v>
      </c>
      <c r="AD588">
        <v>2294</v>
      </c>
      <c r="AE588">
        <v>0</v>
      </c>
      <c r="AF588">
        <v>0</v>
      </c>
      <c r="AG588">
        <v>0</v>
      </c>
      <c r="AH588">
        <v>0</v>
      </c>
      <c r="AI588">
        <v>576</v>
      </c>
      <c r="AJ588">
        <v>0</v>
      </c>
      <c r="AK588">
        <v>0</v>
      </c>
      <c r="AL588">
        <v>0</v>
      </c>
      <c r="AM588">
        <v>0</v>
      </c>
      <c r="AN588">
        <v>302</v>
      </c>
      <c r="AO588">
        <v>0</v>
      </c>
      <c r="AP588">
        <v>9</v>
      </c>
      <c r="AQ588">
        <v>0</v>
      </c>
      <c r="AR588">
        <v>0</v>
      </c>
      <c r="AS588" t="s">
        <v>59</v>
      </c>
      <c r="AT588">
        <v>1</v>
      </c>
      <c r="AU588" t="s">
        <v>63</v>
      </c>
      <c r="AV588" t="s">
        <v>65</v>
      </c>
      <c r="AW588">
        <v>1</v>
      </c>
      <c r="AX588">
        <v>3</v>
      </c>
      <c r="AY588">
        <v>0</v>
      </c>
      <c r="AZ588">
        <v>0</v>
      </c>
      <c r="BA588">
        <v>100</v>
      </c>
      <c r="BB588">
        <v>100</v>
      </c>
      <c r="BC588">
        <v>100</v>
      </c>
      <c r="BD588">
        <v>100</v>
      </c>
      <c r="BE588">
        <v>1</v>
      </c>
      <c r="BF588">
        <v>15000</v>
      </c>
      <c r="BG588">
        <v>1000</v>
      </c>
      <c r="BH588" s="8">
        <f>Granger_Inventory[[#This Row],[land_extract]]*Lookups!$B$3</f>
        <v>32806.481099880541</v>
      </c>
      <c r="BI588" s="8">
        <f>IF(Granger_Inventory[[#This Row],[bldg_style]]="",0,Lookups!$B$2)</f>
        <v>29703.559000000001</v>
      </c>
      <c r="BJ588" s="8">
        <f>_xlfn.IFNA(VLOOKUP(Granger_Inventory[[#This Row],[quality]],Lookups!$H$2:$J$14,3,FALSE),0)</f>
        <v>71767</v>
      </c>
      <c r="BK588" s="8">
        <f>_xlfn.IFNA(VLOOKUP(Granger_Inventory[[#This Row],[condition]],Lookups!$H$17:$J$24,3,FALSE),0)</f>
        <v>101774</v>
      </c>
      <c r="BL588" s="8">
        <f>Granger_Inventory[[#This Row],[Age]]*Lookups!$B$16</f>
        <v>-621.99329999999998</v>
      </c>
      <c r="BM588" s="8">
        <f>Granger_Inventory[[#This Row],[living_area]]*Lookups!$B$17</f>
        <v>154324.053246</v>
      </c>
      <c r="BN588" s="8">
        <f>(Granger_Inventory[[#This Row],[att_gar]]+Granger_Inventory[[#This Row],[blt_gar]])*Lookups!$B$18</f>
        <v>27905.809536000001</v>
      </c>
      <c r="BO588" s="8">
        <f>Granger_Inventory[[#This Row],[Patio]]*Lookups!$B$19</f>
        <v>0</v>
      </c>
      <c r="BP588" s="8">
        <f>SUM(Granger_Inventory[[#This Row],[Intercept]:[Patio_Value]])*Granger_Inventory[[#This Row],[res_pct]]</f>
        <v>384852.42848200002</v>
      </c>
      <c r="BQ588" s="8">
        <f>Granger_Inventory[[#This Row],[land_value]]</f>
        <v>32806.481099880541</v>
      </c>
      <c r="BR588" s="4">
        <f>_xlfn.IFNA(VLOOKUP(Granger_Inventory[[#This Row],[quality]],Lookups!$A$25:$C$35,3,FALSE),1)</f>
        <v>0.992092799099482</v>
      </c>
      <c r="BS588" s="4">
        <f>_xlfn.IFNA(VLOOKUP(Granger_Inventory[[#This Row],[condition]],Lookups!$A$38:$C$45,3,FALSE),1)</f>
        <v>0.99135053432734199</v>
      </c>
      <c r="BT588" s="4">
        <f>IF(Granger_Inventory[[#This Row],[decade]]="",1,_xlfn.IFNA(VLOOKUP(Granger_Inventory[[#This Row],[decade]],Lookups!$G$28:$I$42,3,FALSE),1))</f>
        <v>0.95532362136731586</v>
      </c>
      <c r="BU588" s="4">
        <f>_xlfn.IFNA(VLOOKUP(Granger_Inventory[[#This Row],[living_area_range]],Lookups!$A$48:$C$57,3,FALSE),1)</f>
        <v>1.0000039906678986</v>
      </c>
      <c r="BV588" s="4">
        <f>AVERAGE(Granger_Inventory[[#This Row],[qual_adj]:[living_range_adj]])</f>
        <v>0.98469273636550958</v>
      </c>
      <c r="BW588" s="8">
        <f>(Granger_Inventory[[#This Row],[sum_land]]-IF(Granger_Inventory[[#This Row],[no_utilities]]=1,12000,0))/IF(Granger_Inventory[[#This Row],[unbuildable]]=1,2,1)</f>
        <v>32806.481099880541</v>
      </c>
      <c r="BX588" s="8">
        <f>Granger_Inventory[[#This Row],[pre_res]]*Granger_Inventory[[#This Row],[overall_adj]]</f>
        <v>378961.3908988522</v>
      </c>
      <c r="BY588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88">
        <f>ROUND(Granger_Inventory[[#This Row],[detatched_value]]*Lookups!$I$45,-2)</f>
        <v>0</v>
      </c>
      <c r="CA588">
        <f>IF(ROUND(Granger_Inventory[[#This Row],[adj_res]]*Lookups!$I$45,-2)&lt;Granger_Inventory[[#This Row],[min_res]],Granger_Inventory[[#This Row],[min_res]],ROUND(Granger_Inventory[[#This Row],[adj_res]]*Lookups!$I$45,-2))</f>
        <v>360000</v>
      </c>
      <c r="CB588">
        <f>Granger_Inventory[[#This Row],[final_det]]+Granger_Inventory[[#This Row],[final_res]]</f>
        <v>360000</v>
      </c>
      <c r="CC588">
        <f>Granger_Inventory[[#This Row],[final_land]]+Granger_Inventory[[#This Row],[final_imp]]+Granger_Inventory[[#This Row],[crop_value]]</f>
        <v>391200</v>
      </c>
      <c r="CE588" t="str">
        <f t="shared" si="9"/>
        <v>update valuation set market_land =31200, market_bldg=360000, market_total =391200, market_mdno =402, market_date ='9/10/2023' where link_id = (select link_id from parcel where parcel_year = '2024' and parcel_id = '21102231435');</v>
      </c>
    </row>
    <row r="589" spans="1:83" x14ac:dyDescent="0.25">
      <c r="A589">
        <v>21102231436</v>
      </c>
      <c r="B589">
        <v>0.24</v>
      </c>
      <c r="C589">
        <v>10407</v>
      </c>
      <c r="D589" t="s">
        <v>137</v>
      </c>
      <c r="E589" t="s">
        <v>54</v>
      </c>
      <c r="F589" t="s">
        <v>54</v>
      </c>
      <c r="G589">
        <v>3</v>
      </c>
      <c r="H589" t="s">
        <v>55</v>
      </c>
      <c r="I589">
        <v>353200</v>
      </c>
      <c r="J589">
        <v>29100</v>
      </c>
      <c r="K589">
        <v>0.24</v>
      </c>
      <c r="L589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589">
        <v>0</v>
      </c>
      <c r="N589">
        <v>0</v>
      </c>
      <c r="O589">
        <v>0</v>
      </c>
      <c r="P589">
        <v>47108.068500000001</v>
      </c>
      <c r="Q589">
        <v>122298</v>
      </c>
      <c r="R589">
        <f>(Granger_Inventory[[#This Row],[ln_acres]]*Granger_Inventory[[#This Row],[coeff]])+Granger_Inventory[[#This Row],[const]]</f>
        <v>55069.304961033646</v>
      </c>
      <c r="S589" t="s">
        <v>59</v>
      </c>
      <c r="T589">
        <v>1</v>
      </c>
      <c r="U589" t="s">
        <v>61</v>
      </c>
      <c r="V589" t="s">
        <v>58</v>
      </c>
      <c r="W589">
        <v>0</v>
      </c>
      <c r="X589">
        <v>0</v>
      </c>
      <c r="Y589">
        <v>8</v>
      </c>
      <c r="Z589">
        <v>8</v>
      </c>
      <c r="AA589">
        <v>10</v>
      </c>
      <c r="AB589">
        <v>2000</v>
      </c>
      <c r="AC589">
        <v>1852</v>
      </c>
      <c r="AD589">
        <v>1852</v>
      </c>
      <c r="AE589">
        <v>0</v>
      </c>
      <c r="AF589">
        <v>0</v>
      </c>
      <c r="AG589">
        <v>0</v>
      </c>
      <c r="AH589">
        <v>0</v>
      </c>
      <c r="AI589">
        <v>440</v>
      </c>
      <c r="AJ589">
        <v>0</v>
      </c>
      <c r="AK589">
        <v>0</v>
      </c>
      <c r="AL589">
        <v>0</v>
      </c>
      <c r="AM589">
        <v>0</v>
      </c>
      <c r="AN589">
        <v>808</v>
      </c>
      <c r="AO589">
        <v>0</v>
      </c>
      <c r="AP589">
        <v>10</v>
      </c>
      <c r="AQ589">
        <v>0</v>
      </c>
      <c r="AR589">
        <v>0</v>
      </c>
      <c r="AS589" t="s">
        <v>59</v>
      </c>
      <c r="AT589">
        <v>1</v>
      </c>
      <c r="AU589" t="s">
        <v>63</v>
      </c>
      <c r="AV589" t="s">
        <v>65</v>
      </c>
      <c r="AW589">
        <v>1</v>
      </c>
      <c r="AX589">
        <v>3</v>
      </c>
      <c r="AY589">
        <v>0</v>
      </c>
      <c r="AZ589">
        <v>0</v>
      </c>
      <c r="BA589">
        <v>100</v>
      </c>
      <c r="BB589">
        <v>100</v>
      </c>
      <c r="BC589">
        <v>100</v>
      </c>
      <c r="BD589">
        <v>100</v>
      </c>
      <c r="BE589">
        <v>1</v>
      </c>
      <c r="BF589">
        <v>15000</v>
      </c>
      <c r="BG589">
        <v>1000</v>
      </c>
      <c r="BH589" s="8">
        <f>Granger_Inventory[[#This Row],[land_extract]]*Lookups!$B$3</f>
        <v>32806.481099880541</v>
      </c>
      <c r="BI589" s="8">
        <f>IF(Granger_Inventory[[#This Row],[bldg_style]]="",0,Lookups!$B$2)</f>
        <v>29703.559000000001</v>
      </c>
      <c r="BJ589" s="8">
        <f>_xlfn.IFNA(VLOOKUP(Granger_Inventory[[#This Row],[quality]],Lookups!$H$2:$J$14,3,FALSE),0)</f>
        <v>71767</v>
      </c>
      <c r="BK589" s="8">
        <f>_xlfn.IFNA(VLOOKUP(Granger_Inventory[[#This Row],[condition]],Lookups!$H$17:$J$24,3,FALSE),0)</f>
        <v>101774</v>
      </c>
      <c r="BL589" s="8">
        <f>Granger_Inventory[[#This Row],[Age]]*Lookups!$B$16</f>
        <v>-1658.6487999999999</v>
      </c>
      <c r="BM589" s="8">
        <f>Granger_Inventory[[#This Row],[living_area]]*Lookups!$B$17</f>
        <v>124589.42746799999</v>
      </c>
      <c r="BN589" s="8">
        <f>(Granger_Inventory[[#This Row],[att_gar]]+Granger_Inventory[[#This Row],[blt_gar]])*Lookups!$B$18</f>
        <v>21316.937839999999</v>
      </c>
      <c r="BO589" s="8">
        <f>Granger_Inventory[[#This Row],[Patio]]*Lookups!$B$19</f>
        <v>0</v>
      </c>
      <c r="BP589" s="8">
        <f>SUM(Granger_Inventory[[#This Row],[Intercept]:[Patio_Value]])*Granger_Inventory[[#This Row],[res_pct]]</f>
        <v>347492.27550800005</v>
      </c>
      <c r="BQ589" s="8">
        <f>Granger_Inventory[[#This Row],[land_value]]</f>
        <v>32806.481099880541</v>
      </c>
      <c r="BR589" s="4">
        <f>_xlfn.IFNA(VLOOKUP(Granger_Inventory[[#This Row],[quality]],Lookups!$A$25:$C$35,3,FALSE),1)</f>
        <v>0.992092799099482</v>
      </c>
      <c r="BS589" s="4">
        <f>_xlfn.IFNA(VLOOKUP(Granger_Inventory[[#This Row],[condition]],Lookups!$A$38:$C$45,3,FALSE),1)</f>
        <v>0.99135053432734199</v>
      </c>
      <c r="BT589" s="4">
        <f>IF(Granger_Inventory[[#This Row],[decade]]="",1,_xlfn.IFNA(VLOOKUP(Granger_Inventory[[#This Row],[decade]],Lookups!$G$28:$I$42,3,FALSE),1))</f>
        <v>0.95532362136731586</v>
      </c>
      <c r="BU589" s="4">
        <f>_xlfn.IFNA(VLOOKUP(Granger_Inventory[[#This Row],[living_area_range]],Lookups!$A$48:$C$57,3,FALSE),1)</f>
        <v>0.97860968051050168</v>
      </c>
      <c r="BV589" s="4">
        <f>AVERAGE(Granger_Inventory[[#This Row],[qual_adj]:[living_range_adj]])</f>
        <v>0.97934415882616044</v>
      </c>
      <c r="BW589" s="8">
        <f>(Granger_Inventory[[#This Row],[sum_land]]-IF(Granger_Inventory[[#This Row],[no_utilities]]=1,12000,0))/IF(Granger_Inventory[[#This Row],[unbuildable]]=1,2,1)</f>
        <v>32806.481099880541</v>
      </c>
      <c r="BX589" s="8">
        <f>Granger_Inventory[[#This Row],[pre_res]]*Granger_Inventory[[#This Row],[overall_adj]]</f>
        <v>340314.53025597072</v>
      </c>
      <c r="BY589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589">
        <f>ROUND(Granger_Inventory[[#This Row],[detatched_value]]*Lookups!$I$45,-2)</f>
        <v>0</v>
      </c>
      <c r="CA589">
        <f>IF(ROUND(Granger_Inventory[[#This Row],[adj_res]]*Lookups!$I$45,-2)&lt;Granger_Inventory[[#This Row],[min_res]],Granger_Inventory[[#This Row],[min_res]],ROUND(Granger_Inventory[[#This Row],[adj_res]]*Lookups!$I$45,-2))</f>
        <v>323300</v>
      </c>
      <c r="CB589">
        <f>Granger_Inventory[[#This Row],[final_det]]+Granger_Inventory[[#This Row],[final_res]]</f>
        <v>323300</v>
      </c>
      <c r="CC589">
        <f>Granger_Inventory[[#This Row],[final_land]]+Granger_Inventory[[#This Row],[final_imp]]+Granger_Inventory[[#This Row],[crop_value]]</f>
        <v>354500</v>
      </c>
      <c r="CE589" t="str">
        <f t="shared" si="9"/>
        <v>update valuation set market_land =31200, market_bldg=323300, market_total =354500, market_mdno =402, market_date ='9/10/2023' where link_id = (select link_id from parcel where parcel_year = '2024' and parcel_id = '21102231436');</v>
      </c>
    </row>
    <row r="590" spans="1:83" x14ac:dyDescent="0.25">
      <c r="A590">
        <v>21102231441</v>
      </c>
      <c r="B590">
        <v>1.52</v>
      </c>
      <c r="C590" t="s">
        <v>137</v>
      </c>
      <c r="D590" t="s">
        <v>137</v>
      </c>
      <c r="E590" t="s">
        <v>54</v>
      </c>
      <c r="F590" t="s">
        <v>54</v>
      </c>
      <c r="G590">
        <v>3</v>
      </c>
      <c r="H590" t="s">
        <v>55</v>
      </c>
      <c r="I590">
        <v>428400</v>
      </c>
      <c r="J590">
        <v>40100</v>
      </c>
      <c r="K590">
        <v>1.52</v>
      </c>
      <c r="L590">
        <f>IF(Granger_Inventory[[#This Row],[parcel_acres]]-Granger_Inventory[[#This Row],[non_valued_acres]] =0,0,LN(Granger_Inventory[[#This Row],[parcel_acres]]-Granger_Inventory[[#This Row],[non_valued_acres]]))</f>
        <v>0.41871033485818504</v>
      </c>
      <c r="M590">
        <v>0</v>
      </c>
      <c r="N590">
        <v>0</v>
      </c>
      <c r="O590">
        <v>0</v>
      </c>
      <c r="P590">
        <v>47108.068500000001</v>
      </c>
      <c r="Q590">
        <v>122298</v>
      </c>
      <c r="R590">
        <f>(Granger_Inventory[[#This Row],[ln_acres]]*Granger_Inventory[[#This Row],[coeff]])+Granger_Inventory[[#This Row],[const]]</f>
        <v>142022.63513615733</v>
      </c>
      <c r="S590" t="s">
        <v>59</v>
      </c>
      <c r="T590">
        <v>1</v>
      </c>
      <c r="U590" t="s">
        <v>61</v>
      </c>
      <c r="V590" t="s">
        <v>70</v>
      </c>
      <c r="W590">
        <v>0</v>
      </c>
      <c r="X590">
        <v>0</v>
      </c>
      <c r="Y590">
        <v>6</v>
      </c>
      <c r="Z590">
        <v>6</v>
      </c>
      <c r="AA590">
        <v>10</v>
      </c>
      <c r="AB590">
        <v>2000</v>
      </c>
      <c r="AC590">
        <v>1964</v>
      </c>
      <c r="AD590">
        <v>1964</v>
      </c>
      <c r="AE590">
        <v>0</v>
      </c>
      <c r="AF590">
        <v>0</v>
      </c>
      <c r="AG590">
        <v>0</v>
      </c>
      <c r="AH590">
        <v>0</v>
      </c>
      <c r="AI590">
        <v>484</v>
      </c>
      <c r="AJ590">
        <v>0</v>
      </c>
      <c r="AK590">
        <v>0</v>
      </c>
      <c r="AL590">
        <v>0</v>
      </c>
      <c r="AM590">
        <v>0</v>
      </c>
      <c r="AN590">
        <v>156</v>
      </c>
      <c r="AO590">
        <v>0</v>
      </c>
      <c r="AP590">
        <v>10</v>
      </c>
      <c r="AQ590">
        <v>0</v>
      </c>
      <c r="AR590">
        <v>0</v>
      </c>
      <c r="AS590" t="s">
        <v>59</v>
      </c>
      <c r="AT590">
        <v>1</v>
      </c>
      <c r="AU590" t="s">
        <v>63</v>
      </c>
      <c r="AV590" t="s">
        <v>65</v>
      </c>
      <c r="AW590">
        <v>1</v>
      </c>
      <c r="AX590">
        <v>3</v>
      </c>
      <c r="AY590">
        <v>0</v>
      </c>
      <c r="AZ590">
        <v>42700</v>
      </c>
      <c r="BA590">
        <v>100</v>
      </c>
      <c r="BB590">
        <v>100</v>
      </c>
      <c r="BC590">
        <v>100</v>
      </c>
      <c r="BD590">
        <v>100</v>
      </c>
      <c r="BE590">
        <v>1</v>
      </c>
      <c r="BF590">
        <v>15000</v>
      </c>
      <c r="BG590">
        <v>1000</v>
      </c>
      <c r="BH590" s="8">
        <f>Granger_Inventory[[#This Row],[land_extract]]*Lookups!$B$3</f>
        <v>84607.258047771116</v>
      </c>
      <c r="BI590" s="8">
        <f>IF(Granger_Inventory[[#This Row],[bldg_style]]="",0,Lookups!$B$2)</f>
        <v>29703.559000000001</v>
      </c>
      <c r="BJ590" s="8">
        <f>_xlfn.IFNA(VLOOKUP(Granger_Inventory[[#This Row],[quality]],Lookups!$H$2:$J$14,3,FALSE),0)</f>
        <v>71767</v>
      </c>
      <c r="BK590" s="8">
        <f>_xlfn.IFNA(VLOOKUP(Granger_Inventory[[#This Row],[condition]],Lookups!$H$17:$J$24,3,FALSE),0)</f>
        <v>80695</v>
      </c>
      <c r="BL590" s="8">
        <f>Granger_Inventory[[#This Row],[Age]]*Lookups!$B$16</f>
        <v>-1243.9866</v>
      </c>
      <c r="BM590" s="8">
        <f>Granger_Inventory[[#This Row],[living_area]]*Lookups!$B$17</f>
        <v>132123.99327599999</v>
      </c>
      <c r="BN590" s="8">
        <f>(Granger_Inventory[[#This Row],[att_gar]]+Granger_Inventory[[#This Row],[blt_gar]])*Lookups!$B$18</f>
        <v>23448.631624000001</v>
      </c>
      <c r="BO590" s="8">
        <f>Granger_Inventory[[#This Row],[Patio]]*Lookups!$B$19</f>
        <v>0</v>
      </c>
      <c r="BP590" s="8">
        <f>SUM(Granger_Inventory[[#This Row],[Intercept]:[Patio_Value]])*Granger_Inventory[[#This Row],[res_pct]]</f>
        <v>336494.1973</v>
      </c>
      <c r="BQ590" s="8">
        <f>Granger_Inventory[[#This Row],[land_value]]</f>
        <v>84607.258047771116</v>
      </c>
      <c r="BR590" s="4">
        <f>_xlfn.IFNA(VLOOKUP(Granger_Inventory[[#This Row],[quality]],Lookups!$A$25:$C$35,3,FALSE),1)</f>
        <v>0.992092799099482</v>
      </c>
      <c r="BS590" s="4">
        <f>_xlfn.IFNA(VLOOKUP(Granger_Inventory[[#This Row],[condition]],Lookups!$A$38:$C$45,3,FALSE),1)</f>
        <v>0.99484195314749324</v>
      </c>
      <c r="BT590" s="4">
        <f>IF(Granger_Inventory[[#This Row],[decade]]="",1,_xlfn.IFNA(VLOOKUP(Granger_Inventory[[#This Row],[decade]],Lookups!$G$28:$I$42,3,FALSE),1))</f>
        <v>0.95532362136731586</v>
      </c>
      <c r="BU590" s="4">
        <f>_xlfn.IFNA(VLOOKUP(Granger_Inventory[[#This Row],[living_area_range]],Lookups!$A$48:$C$57,3,FALSE),1)</f>
        <v>0.97860968051050168</v>
      </c>
      <c r="BV590" s="4">
        <f>AVERAGE(Granger_Inventory[[#This Row],[qual_adj]:[living_range_adj]])</f>
        <v>0.98021701353119817</v>
      </c>
      <c r="BW590" s="8">
        <f>(Granger_Inventory[[#This Row],[sum_land]]-IF(Granger_Inventory[[#This Row],[no_utilities]]=1,12000,0))/IF(Granger_Inventory[[#This Row],[unbuildable]]=1,2,1)</f>
        <v>84607.258047771116</v>
      </c>
      <c r="BX590" s="8">
        <f>Granger_Inventory[[#This Row],[pre_res]]*Granger_Inventory[[#This Row],[overall_adj]]</f>
        <v>329837.33714798378</v>
      </c>
      <c r="BY590">
        <f>IF(ROUND(Granger_Inventory[[#This Row],[adj_land]]*Lookups!$I$45,-2)&lt;Granger_Inventory[[#This Row],[min_land]],Granger_Inventory[[#This Row],[min_land]],ROUND(Granger_Inventory[[#This Row],[adj_land]]*Lookups!$I$45,-2))</f>
        <v>80400</v>
      </c>
      <c r="BZ590">
        <f>ROUND(Granger_Inventory[[#This Row],[detatched_value]]*Lookups!$I$45,-2)</f>
        <v>40600</v>
      </c>
      <c r="CA590">
        <f>IF(ROUND(Granger_Inventory[[#This Row],[adj_res]]*Lookups!$I$45,-2)&lt;Granger_Inventory[[#This Row],[min_res]],Granger_Inventory[[#This Row],[min_res]],ROUND(Granger_Inventory[[#This Row],[adj_res]]*Lookups!$I$45,-2))</f>
        <v>313300</v>
      </c>
      <c r="CB590">
        <f>Granger_Inventory[[#This Row],[final_det]]+Granger_Inventory[[#This Row],[final_res]]</f>
        <v>353900</v>
      </c>
      <c r="CC590">
        <f>Granger_Inventory[[#This Row],[final_land]]+Granger_Inventory[[#This Row],[final_imp]]+Granger_Inventory[[#This Row],[crop_value]]</f>
        <v>434300</v>
      </c>
      <c r="CE590" t="str">
        <f t="shared" si="9"/>
        <v>update valuation set market_land =80400, market_bldg=353900, market_total =434300, market_mdno =402, market_date ='9/10/2023' where link_id = (select link_id from parcel where parcel_year = '2024' and parcel_id = '21102231441');</v>
      </c>
    </row>
    <row r="591" spans="1:83" x14ac:dyDescent="0.25">
      <c r="A591">
        <v>21102231442</v>
      </c>
      <c r="B591" t="s">
        <v>137</v>
      </c>
      <c r="C591">
        <v>15597</v>
      </c>
      <c r="D591" t="s">
        <v>137</v>
      </c>
      <c r="E591" t="s">
        <v>54</v>
      </c>
      <c r="F591" t="s">
        <v>54</v>
      </c>
      <c r="G591">
        <v>3</v>
      </c>
      <c r="H591" t="s">
        <v>55</v>
      </c>
      <c r="I591">
        <v>360200</v>
      </c>
      <c r="J591">
        <v>31500</v>
      </c>
      <c r="K591">
        <v>0.36</v>
      </c>
      <c r="L591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591">
        <v>0</v>
      </c>
      <c r="N591">
        <v>0</v>
      </c>
      <c r="O591">
        <v>0</v>
      </c>
      <c r="P591">
        <v>47108.068500000001</v>
      </c>
      <c r="Q591">
        <v>122298</v>
      </c>
      <c r="R591">
        <f>(Granger_Inventory[[#This Row],[ln_acres]]*Granger_Inventory[[#This Row],[coeff]])+Granger_Inventory[[#This Row],[const]]</f>
        <v>74169.983048152964</v>
      </c>
      <c r="S591" t="s">
        <v>62</v>
      </c>
      <c r="T591">
        <v>2</v>
      </c>
      <c r="U591" t="s">
        <v>57</v>
      </c>
      <c r="V591" t="s">
        <v>58</v>
      </c>
      <c r="W591">
        <v>0</v>
      </c>
      <c r="X591">
        <v>0</v>
      </c>
      <c r="Y591">
        <v>4</v>
      </c>
      <c r="Z591">
        <v>4</v>
      </c>
      <c r="AA591">
        <v>10</v>
      </c>
      <c r="AB591">
        <v>2500</v>
      </c>
      <c r="AC591">
        <v>2160</v>
      </c>
      <c r="AD591">
        <v>1080</v>
      </c>
      <c r="AE591">
        <v>1080</v>
      </c>
      <c r="AF591">
        <v>0</v>
      </c>
      <c r="AG591">
        <v>0</v>
      </c>
      <c r="AH591">
        <v>0</v>
      </c>
      <c r="AI591">
        <v>552</v>
      </c>
      <c r="AJ591">
        <v>0</v>
      </c>
      <c r="AK591">
        <v>0</v>
      </c>
      <c r="AL591">
        <v>0</v>
      </c>
      <c r="AM591">
        <v>900</v>
      </c>
      <c r="AN591">
        <v>216</v>
      </c>
      <c r="AO591">
        <v>0</v>
      </c>
      <c r="AP591">
        <v>10</v>
      </c>
      <c r="AQ591">
        <v>0</v>
      </c>
      <c r="AR591">
        <v>0</v>
      </c>
      <c r="AS591" t="s">
        <v>59</v>
      </c>
      <c r="AT591">
        <v>1</v>
      </c>
      <c r="AU591" t="s">
        <v>63</v>
      </c>
      <c r="AV591" t="s">
        <v>65</v>
      </c>
      <c r="AW591">
        <v>1</v>
      </c>
      <c r="AX591">
        <v>3</v>
      </c>
      <c r="AY591">
        <v>0</v>
      </c>
      <c r="AZ591">
        <v>0</v>
      </c>
      <c r="BA591">
        <v>100</v>
      </c>
      <c r="BB591">
        <v>100</v>
      </c>
      <c r="BC591">
        <v>100</v>
      </c>
      <c r="BD591">
        <v>100</v>
      </c>
      <c r="BE591">
        <v>1</v>
      </c>
      <c r="BF591">
        <v>15000</v>
      </c>
      <c r="BG591">
        <v>1000</v>
      </c>
      <c r="BH591" s="8">
        <f>Granger_Inventory[[#This Row],[land_extract]]*Lookups!$B$3</f>
        <v>44185.343337262602</v>
      </c>
      <c r="BI591" s="8">
        <f>IF(Granger_Inventory[[#This Row],[bldg_style]]="",0,Lookups!$B$2)</f>
        <v>29703.559000000001</v>
      </c>
      <c r="BJ591" s="8">
        <f>_xlfn.IFNA(VLOOKUP(Granger_Inventory[[#This Row],[quality]],Lookups!$H$2:$J$14,3,FALSE),0)</f>
        <v>56414</v>
      </c>
      <c r="BK591" s="8">
        <f>_xlfn.IFNA(VLOOKUP(Granger_Inventory[[#This Row],[condition]],Lookups!$H$17:$J$24,3,FALSE),0)</f>
        <v>101774</v>
      </c>
      <c r="BL591" s="8">
        <f>Granger_Inventory[[#This Row],[Age]]*Lookups!$B$16</f>
        <v>-829.32439999999997</v>
      </c>
      <c r="BM591" s="8">
        <f>Granger_Inventory[[#This Row],[living_area]]*Lookups!$B$17</f>
        <v>145309.48344000001</v>
      </c>
      <c r="BN591" s="8">
        <f>(Granger_Inventory[[#This Row],[att_gar]]+Granger_Inventory[[#This Row],[blt_gar]])*Lookups!$B$18</f>
        <v>26743.067472000002</v>
      </c>
      <c r="BO591" s="8">
        <f>Granger_Inventory[[#This Row],[Patio]]*Lookups!$B$19</f>
        <v>48883.5864</v>
      </c>
      <c r="BP591" s="8">
        <f>SUM(Granger_Inventory[[#This Row],[Intercept]:[Patio_Value]])*Granger_Inventory[[#This Row],[res_pct]]</f>
        <v>407998.371912</v>
      </c>
      <c r="BQ591" s="8">
        <f>Granger_Inventory[[#This Row],[land_value]]</f>
        <v>44185.343337262602</v>
      </c>
      <c r="BR591" s="4">
        <f>_xlfn.IFNA(VLOOKUP(Granger_Inventory[[#This Row],[quality]],Lookups!$A$25:$C$35,3,FALSE),1)</f>
        <v>0.98791809110152173</v>
      </c>
      <c r="BS591" s="4">
        <f>_xlfn.IFNA(VLOOKUP(Granger_Inventory[[#This Row],[condition]],Lookups!$A$38:$C$45,3,FALSE),1)</f>
        <v>0.99135053432734199</v>
      </c>
      <c r="BT591" s="4">
        <f>IF(Granger_Inventory[[#This Row],[decade]]="",1,_xlfn.IFNA(VLOOKUP(Granger_Inventory[[#This Row],[decade]],Lookups!$G$28:$I$42,3,FALSE),1))</f>
        <v>0.95532362136731586</v>
      </c>
      <c r="BU591" s="4">
        <f>_xlfn.IFNA(VLOOKUP(Granger_Inventory[[#This Row],[living_area_range]],Lookups!$A$48:$C$57,3,FALSE),1)</f>
        <v>1.0000039906678986</v>
      </c>
      <c r="BV591" s="4">
        <f>AVERAGE(Granger_Inventory[[#This Row],[qual_adj]:[living_range_adj]])</f>
        <v>0.98364905936601943</v>
      </c>
      <c r="BW591" s="8">
        <f>(Granger_Inventory[[#This Row],[sum_land]]-IF(Granger_Inventory[[#This Row],[no_utilities]]=1,12000,0))/IF(Granger_Inventory[[#This Row],[unbuildable]]=1,2,1)</f>
        <v>44185.343337262602</v>
      </c>
      <c r="BX591" s="8">
        <f>Granger_Inventory[[#This Row],[pre_res]]*Granger_Inventory[[#This Row],[overall_adj]]</f>
        <v>401327.21475410619</v>
      </c>
      <c r="BY591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591">
        <f>ROUND(Granger_Inventory[[#This Row],[detatched_value]]*Lookups!$I$45,-2)</f>
        <v>0</v>
      </c>
      <c r="CA591">
        <f>IF(ROUND(Granger_Inventory[[#This Row],[adj_res]]*Lookups!$I$45,-2)&lt;Granger_Inventory[[#This Row],[min_res]],Granger_Inventory[[#This Row],[min_res]],ROUND(Granger_Inventory[[#This Row],[adj_res]]*Lookups!$I$45,-2))</f>
        <v>381300</v>
      </c>
      <c r="CB591">
        <f>Granger_Inventory[[#This Row],[final_det]]+Granger_Inventory[[#This Row],[final_res]]</f>
        <v>381300</v>
      </c>
      <c r="CC591">
        <f>Granger_Inventory[[#This Row],[final_land]]+Granger_Inventory[[#This Row],[final_imp]]+Granger_Inventory[[#This Row],[crop_value]]</f>
        <v>423300</v>
      </c>
      <c r="CE591" t="str">
        <f t="shared" si="9"/>
        <v>update valuation set market_land =42000, market_bldg=381300, market_total =423300, market_mdno =402, market_date ='9/10/2023' where link_id = (select link_id from parcel where parcel_year = '2024' and parcel_id = '21102231442');</v>
      </c>
    </row>
    <row r="592" spans="1:83" x14ac:dyDescent="0.25">
      <c r="A592">
        <v>21102232409</v>
      </c>
      <c r="B592">
        <v>0.47</v>
      </c>
      <c r="C592">
        <v>20300</v>
      </c>
      <c r="D592" t="s">
        <v>137</v>
      </c>
      <c r="E592" t="s">
        <v>54</v>
      </c>
      <c r="F592" t="s">
        <v>54</v>
      </c>
      <c r="G592">
        <v>3</v>
      </c>
      <c r="H592" t="s">
        <v>55</v>
      </c>
      <c r="I592">
        <v>42600</v>
      </c>
      <c r="J592">
        <v>33100</v>
      </c>
      <c r="K592">
        <v>0.47</v>
      </c>
      <c r="L592">
        <f>IF(Granger_Inventory[[#This Row],[parcel_acres]]-Granger_Inventory[[#This Row],[non_valued_acres]] =0,0,LN(Granger_Inventory[[#This Row],[parcel_acres]]-Granger_Inventory[[#This Row],[non_valued_acres]]))</f>
        <v>-0.75502258427803282</v>
      </c>
      <c r="M592">
        <v>0</v>
      </c>
      <c r="N592">
        <v>0</v>
      </c>
      <c r="O592">
        <v>0</v>
      </c>
      <c r="P592">
        <v>47108.068500000001</v>
      </c>
      <c r="Q592">
        <v>122298</v>
      </c>
      <c r="R592">
        <f>(Granger_Inventory[[#This Row],[ln_acres]]*Granger_Inventory[[#This Row],[coeff]])+Granger_Inventory[[#This Row],[const]]</f>
        <v>86730.344380783412</v>
      </c>
      <c r="S592" t="s">
        <v>56</v>
      </c>
      <c r="T592">
        <v>1</v>
      </c>
      <c r="U592" t="s">
        <v>64</v>
      </c>
      <c r="V592" t="s">
        <v>82</v>
      </c>
      <c r="W592">
        <v>0</v>
      </c>
      <c r="X592">
        <v>0</v>
      </c>
      <c r="Y592">
        <v>47</v>
      </c>
      <c r="Z592">
        <v>58</v>
      </c>
      <c r="AA592">
        <v>60</v>
      </c>
      <c r="AB592">
        <v>1500</v>
      </c>
      <c r="AC592">
        <v>1366</v>
      </c>
      <c r="AD592">
        <v>1366</v>
      </c>
      <c r="AE592">
        <v>0</v>
      </c>
      <c r="AF592">
        <v>0</v>
      </c>
      <c r="AG592">
        <v>0</v>
      </c>
      <c r="AH592">
        <v>1366</v>
      </c>
      <c r="AI592">
        <v>0</v>
      </c>
      <c r="AJ592">
        <v>0</v>
      </c>
      <c r="AK592">
        <v>0</v>
      </c>
      <c r="AL592">
        <v>192</v>
      </c>
      <c r="AM592">
        <v>192</v>
      </c>
      <c r="AN592">
        <v>0</v>
      </c>
      <c r="AO592">
        <v>0</v>
      </c>
      <c r="AP592">
        <v>8</v>
      </c>
      <c r="AQ592">
        <v>0</v>
      </c>
      <c r="AR592">
        <v>1</v>
      </c>
      <c r="AS592" t="s">
        <v>139</v>
      </c>
      <c r="AT592">
        <v>1</v>
      </c>
      <c r="AU592" t="s">
        <v>60</v>
      </c>
      <c r="AV592" t="s">
        <v>65</v>
      </c>
      <c r="AW592">
        <v>0</v>
      </c>
      <c r="AX592">
        <v>5</v>
      </c>
      <c r="AY592">
        <v>0</v>
      </c>
      <c r="AZ592">
        <v>6600</v>
      </c>
      <c r="BA592">
        <v>100</v>
      </c>
      <c r="BB592">
        <v>100</v>
      </c>
      <c r="BC592">
        <v>100</v>
      </c>
      <c r="BD592">
        <v>35</v>
      </c>
      <c r="BE592">
        <v>0.35</v>
      </c>
      <c r="BF592">
        <v>15000</v>
      </c>
      <c r="BG592">
        <v>1000</v>
      </c>
      <c r="BH592" s="8">
        <f>Granger_Inventory[[#This Row],[land_extract]]*Lookups!$B$3</f>
        <v>51667.937442239607</v>
      </c>
      <c r="BI592" s="8">
        <f>IF(Granger_Inventory[[#This Row],[bldg_style]]="",0,Lookups!$B$2)</f>
        <v>29703.559000000001</v>
      </c>
      <c r="BJ592" s="8">
        <f>_xlfn.IFNA(VLOOKUP(Granger_Inventory[[#This Row],[quality]],Lookups!$H$2:$J$14,3,FALSE),0)</f>
        <v>36568</v>
      </c>
      <c r="BK592" s="8">
        <f>_xlfn.IFNA(VLOOKUP(Granger_Inventory[[#This Row],[condition]],Lookups!$H$17:$J$24,3,FALSE),0)</f>
        <v>27308</v>
      </c>
      <c r="BL592" s="8">
        <f>Granger_Inventory[[#This Row],[Age]]*Lookups!$B$16</f>
        <v>-12025.203799999999</v>
      </c>
      <c r="BM592" s="8">
        <f>Granger_Inventory[[#This Row],[living_area]]*Lookups!$B$17</f>
        <v>91894.793693999993</v>
      </c>
      <c r="BN592" s="8">
        <f>(Granger_Inventory[[#This Row],[att_gar]]+Granger_Inventory[[#This Row],[blt_gar]])*Lookups!$B$18</f>
        <v>0</v>
      </c>
      <c r="BO592" s="8">
        <f>Granger_Inventory[[#This Row],[Patio]]*Lookups!$B$19</f>
        <v>10428.498432</v>
      </c>
      <c r="BP592" s="8">
        <f>SUM(Granger_Inventory[[#This Row],[Intercept]:[Patio_Value]])*Granger_Inventory[[#This Row],[res_pct]]</f>
        <v>64357.176564099987</v>
      </c>
      <c r="BQ592" s="8">
        <f>Granger_Inventory[[#This Row],[land_value]]</f>
        <v>51667.937442239607</v>
      </c>
      <c r="BR592" s="4">
        <f>_xlfn.IFNA(VLOOKUP(Granger_Inventory[[#This Row],[quality]],Lookups!$A$25:$C$35,3,FALSE),1)</f>
        <v>0.99049976351917957</v>
      </c>
      <c r="BS592" s="4">
        <f>_xlfn.IFNA(VLOOKUP(Granger_Inventory[[#This Row],[condition]],Lookups!$A$38:$C$45,3,FALSE),1)</f>
        <v>0.59507759803100935</v>
      </c>
      <c r="BT592" s="4">
        <f>IF(Granger_Inventory[[#This Row],[decade]]="",1,_xlfn.IFNA(VLOOKUP(Granger_Inventory[[#This Row],[decade]],Lookups!$G$28:$I$42,3,FALSE),1))</f>
        <v>0.86581421791274704</v>
      </c>
      <c r="BU592" s="4">
        <f>_xlfn.IFNA(VLOOKUP(Granger_Inventory[[#This Row],[living_area_range]],Lookups!$A$48:$C$57,3,FALSE),1)</f>
        <v>0.97960506760539345</v>
      </c>
      <c r="BV592" s="4">
        <f>AVERAGE(Granger_Inventory[[#This Row],[qual_adj]:[living_range_adj]])</f>
        <v>0.85774916176708238</v>
      </c>
      <c r="BW592" s="8">
        <f>(Granger_Inventory[[#This Row],[sum_land]]-IF(Granger_Inventory[[#This Row],[no_utilities]]=1,12000,0))/IF(Granger_Inventory[[#This Row],[unbuildable]]=1,2,1)</f>
        <v>51667.937442239607</v>
      </c>
      <c r="BX592" s="8">
        <f>Granger_Inventory[[#This Row],[pre_res]]*Granger_Inventory[[#This Row],[overall_adj]]</f>
        <v>55202.314251552882</v>
      </c>
      <c r="BY592">
        <f>IF(ROUND(Granger_Inventory[[#This Row],[adj_land]]*Lookups!$I$45,-2)&lt;Granger_Inventory[[#This Row],[min_land]],Granger_Inventory[[#This Row],[min_land]],ROUND(Granger_Inventory[[#This Row],[adj_land]]*Lookups!$I$45,-2))</f>
        <v>49100</v>
      </c>
      <c r="BZ592">
        <f>ROUND(Granger_Inventory[[#This Row],[detatched_value]]*Lookups!$I$45,-2)</f>
        <v>6300</v>
      </c>
      <c r="CA592">
        <f>IF(ROUND(Granger_Inventory[[#This Row],[adj_res]]*Lookups!$I$45,-2)&lt;Granger_Inventory[[#This Row],[min_res]],Granger_Inventory[[#This Row],[min_res]],ROUND(Granger_Inventory[[#This Row],[adj_res]]*Lookups!$I$45,-2))</f>
        <v>52400</v>
      </c>
      <c r="CB592">
        <f>Granger_Inventory[[#This Row],[final_det]]+Granger_Inventory[[#This Row],[final_res]]</f>
        <v>58700</v>
      </c>
      <c r="CC592">
        <f>Granger_Inventory[[#This Row],[final_land]]+Granger_Inventory[[#This Row],[final_imp]]+Granger_Inventory[[#This Row],[crop_value]]</f>
        <v>107800</v>
      </c>
      <c r="CE592" t="str">
        <f t="shared" si="9"/>
        <v>update valuation set market_land =49100, market_bldg=58700, market_total =107800, market_mdno =402, market_date ='9/10/2023' where link_id = (select link_id from parcel where parcel_year = '2024' and parcel_id = '21102232409');</v>
      </c>
    </row>
    <row r="593" spans="1:83" x14ac:dyDescent="0.25">
      <c r="A593">
        <v>21102232413</v>
      </c>
      <c r="B593">
        <v>0.44</v>
      </c>
      <c r="C593">
        <v>18957</v>
      </c>
      <c r="D593" t="s">
        <v>137</v>
      </c>
      <c r="E593" t="s">
        <v>54</v>
      </c>
      <c r="F593" t="s">
        <v>54</v>
      </c>
      <c r="G593">
        <v>3</v>
      </c>
      <c r="H593" t="s">
        <v>55</v>
      </c>
      <c r="I593">
        <v>127600</v>
      </c>
      <c r="J593">
        <v>32700</v>
      </c>
      <c r="K593">
        <v>0.44</v>
      </c>
      <c r="L593">
        <f>IF(Granger_Inventory[[#This Row],[parcel_acres]]-Granger_Inventory[[#This Row],[non_valued_acres]] =0,0,LN(Granger_Inventory[[#This Row],[parcel_acres]]-Granger_Inventory[[#This Row],[non_valued_acres]]))</f>
        <v>-0.82098055206983023</v>
      </c>
      <c r="M593">
        <v>0</v>
      </c>
      <c r="N593">
        <v>0</v>
      </c>
      <c r="O593">
        <v>0</v>
      </c>
      <c r="P593">
        <v>47108.068500000001</v>
      </c>
      <c r="Q593">
        <v>122298</v>
      </c>
      <c r="R593">
        <f>(Granger_Inventory[[#This Row],[ln_acres]]*Granger_Inventory[[#This Row],[coeff]])+Granger_Inventory[[#This Row],[const]]</f>
        <v>83623.191915926611</v>
      </c>
      <c r="S593" t="s">
        <v>56</v>
      </c>
      <c r="T593">
        <v>1</v>
      </c>
      <c r="U593" t="s">
        <v>64</v>
      </c>
      <c r="V593" t="s">
        <v>77</v>
      </c>
      <c r="W593">
        <v>0</v>
      </c>
      <c r="X593">
        <v>0</v>
      </c>
      <c r="Y593">
        <v>48</v>
      </c>
      <c r="Z593">
        <v>59</v>
      </c>
      <c r="AA593">
        <v>60</v>
      </c>
      <c r="AB593">
        <v>1500</v>
      </c>
      <c r="AC593">
        <v>1283</v>
      </c>
      <c r="AD593">
        <v>1283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300</v>
      </c>
      <c r="AL593">
        <v>0</v>
      </c>
      <c r="AM593">
        <v>0</v>
      </c>
      <c r="AN593">
        <v>80</v>
      </c>
      <c r="AO593">
        <v>0</v>
      </c>
      <c r="AP593">
        <v>5</v>
      </c>
      <c r="AQ593">
        <v>0</v>
      </c>
      <c r="AR593">
        <v>1</v>
      </c>
      <c r="AS593" t="s">
        <v>59</v>
      </c>
      <c r="AT593">
        <v>1</v>
      </c>
      <c r="AU593" t="s">
        <v>68</v>
      </c>
      <c r="AV593" t="s">
        <v>65</v>
      </c>
      <c r="AW593">
        <v>0</v>
      </c>
      <c r="AX593">
        <v>3</v>
      </c>
      <c r="AY593">
        <v>0</v>
      </c>
      <c r="AZ593">
        <v>0</v>
      </c>
      <c r="BA593">
        <v>100</v>
      </c>
      <c r="BB593">
        <v>100</v>
      </c>
      <c r="BC593">
        <v>100</v>
      </c>
      <c r="BD593">
        <v>100</v>
      </c>
      <c r="BE593">
        <v>1</v>
      </c>
      <c r="BF593">
        <v>15000</v>
      </c>
      <c r="BG593">
        <v>1000</v>
      </c>
      <c r="BH593" s="8">
        <f>Granger_Inventory[[#This Row],[land_extract]]*Lookups!$B$3</f>
        <v>49816.911018628496</v>
      </c>
      <c r="BI593" s="8">
        <f>IF(Granger_Inventory[[#This Row],[bldg_style]]="",0,Lookups!$B$2)</f>
        <v>29703.559000000001</v>
      </c>
      <c r="BJ593" s="8">
        <f>_xlfn.IFNA(VLOOKUP(Granger_Inventory[[#This Row],[quality]],Lookups!$H$2:$J$14,3,FALSE),0)</f>
        <v>36568</v>
      </c>
      <c r="BK593" s="8">
        <f>_xlfn.IFNA(VLOOKUP(Granger_Inventory[[#This Row],[condition]],Lookups!$H$17:$J$24,3,FALSE),0)</f>
        <v>33736</v>
      </c>
      <c r="BL593" s="8">
        <f>Granger_Inventory[[#This Row],[Age]]*Lookups!$B$16</f>
        <v>-12232.534899999999</v>
      </c>
      <c r="BM593" s="8">
        <f>Granger_Inventory[[#This Row],[living_area]]*Lookups!$B$17</f>
        <v>86311.142246999996</v>
      </c>
      <c r="BN593" s="8">
        <f>(Granger_Inventory[[#This Row],[att_gar]]+Granger_Inventory[[#This Row],[blt_gar]])*Lookups!$B$18</f>
        <v>0</v>
      </c>
      <c r="BO593" s="8">
        <f>Granger_Inventory[[#This Row],[Patio]]*Lookups!$B$19</f>
        <v>0</v>
      </c>
      <c r="BP593" s="8">
        <f>SUM(Granger_Inventory[[#This Row],[Intercept]:[Patio_Value]])*Granger_Inventory[[#This Row],[res_pct]]</f>
        <v>174086.16634699999</v>
      </c>
      <c r="BQ593" s="8">
        <f>Granger_Inventory[[#This Row],[land_value]]</f>
        <v>49816.911018628496</v>
      </c>
      <c r="BR593" s="4">
        <f>_xlfn.IFNA(VLOOKUP(Granger_Inventory[[#This Row],[quality]],Lookups!$A$25:$C$35,3,FALSE),1)</f>
        <v>0.99049976351917957</v>
      </c>
      <c r="BS593" s="4">
        <f>_xlfn.IFNA(VLOOKUP(Granger_Inventory[[#This Row],[condition]],Lookups!$A$38:$C$45,3,FALSE),1)</f>
        <v>0.92294678898076177</v>
      </c>
      <c r="BT593" s="4">
        <f>IF(Granger_Inventory[[#This Row],[decade]]="",1,_xlfn.IFNA(VLOOKUP(Granger_Inventory[[#This Row],[decade]],Lookups!$G$28:$I$42,3,FALSE),1))</f>
        <v>0.86581421791274704</v>
      </c>
      <c r="BU593" s="4">
        <f>_xlfn.IFNA(VLOOKUP(Granger_Inventory[[#This Row],[living_area_range]],Lookups!$A$48:$C$57,3,FALSE),1)</f>
        <v>0.97960506760539345</v>
      </c>
      <c r="BV593" s="4">
        <f>AVERAGE(Granger_Inventory[[#This Row],[qual_adj]:[living_range_adj]])</f>
        <v>0.93971645950452043</v>
      </c>
      <c r="BW593" s="8">
        <f>(Granger_Inventory[[#This Row],[sum_land]]-IF(Granger_Inventory[[#This Row],[no_utilities]]=1,12000,0))/IF(Granger_Inventory[[#This Row],[unbuildable]]=1,2,1)</f>
        <v>49816.911018628496</v>
      </c>
      <c r="BX593" s="8">
        <f>Granger_Inventory[[#This Row],[pre_res]]*Granger_Inventory[[#This Row],[overall_adj]]</f>
        <v>163591.63588831783</v>
      </c>
      <c r="BY593">
        <f>IF(ROUND(Granger_Inventory[[#This Row],[adj_land]]*Lookups!$I$45,-2)&lt;Granger_Inventory[[#This Row],[min_land]],Granger_Inventory[[#This Row],[min_land]],ROUND(Granger_Inventory[[#This Row],[adj_land]]*Lookups!$I$45,-2))</f>
        <v>47300</v>
      </c>
      <c r="BZ593">
        <f>ROUND(Granger_Inventory[[#This Row],[detatched_value]]*Lookups!$I$45,-2)</f>
        <v>0</v>
      </c>
      <c r="CA593">
        <f>IF(ROUND(Granger_Inventory[[#This Row],[adj_res]]*Lookups!$I$45,-2)&lt;Granger_Inventory[[#This Row],[min_res]],Granger_Inventory[[#This Row],[min_res]],ROUND(Granger_Inventory[[#This Row],[adj_res]]*Lookups!$I$45,-2))</f>
        <v>155400</v>
      </c>
      <c r="CB593">
        <f>Granger_Inventory[[#This Row],[final_det]]+Granger_Inventory[[#This Row],[final_res]]</f>
        <v>155400</v>
      </c>
      <c r="CC593">
        <f>Granger_Inventory[[#This Row],[final_land]]+Granger_Inventory[[#This Row],[final_imp]]+Granger_Inventory[[#This Row],[crop_value]]</f>
        <v>202700</v>
      </c>
      <c r="CE593" t="str">
        <f t="shared" si="9"/>
        <v>update valuation set market_land =47300, market_bldg=155400, market_total =202700, market_mdno =402, market_date ='9/10/2023' where link_id = (select link_id from parcel where parcel_year = '2024' and parcel_id = '21102232413');</v>
      </c>
    </row>
    <row r="594" spans="1:83" x14ac:dyDescent="0.25">
      <c r="A594">
        <v>21102232414</v>
      </c>
      <c r="B594">
        <v>0.65</v>
      </c>
      <c r="C594">
        <v>28260</v>
      </c>
      <c r="D594" t="s">
        <v>137</v>
      </c>
      <c r="E594" t="s">
        <v>54</v>
      </c>
      <c r="F594" t="s">
        <v>54</v>
      </c>
      <c r="G594">
        <v>3</v>
      </c>
      <c r="H594" t="s">
        <v>55</v>
      </c>
      <c r="I594">
        <v>249600</v>
      </c>
      <c r="J594">
        <v>35000</v>
      </c>
      <c r="K594">
        <v>0.65</v>
      </c>
      <c r="L594">
        <f>IF(Granger_Inventory[[#This Row],[parcel_acres]]-Granger_Inventory[[#This Row],[non_valued_acres]] =0,0,LN(Granger_Inventory[[#This Row],[parcel_acres]]-Granger_Inventory[[#This Row],[non_valued_acres]]))</f>
        <v>-0.43078291609245423</v>
      </c>
      <c r="M594">
        <v>0</v>
      </c>
      <c r="N594">
        <v>0</v>
      </c>
      <c r="O594">
        <v>0</v>
      </c>
      <c r="P594">
        <v>47108.068500000001</v>
      </c>
      <c r="Q594">
        <v>122298</v>
      </c>
      <c r="R594">
        <f>(Granger_Inventory[[#This Row],[ln_acres]]*Granger_Inventory[[#This Row],[coeff]])+Granger_Inventory[[#This Row],[const]]</f>
        <v>102004.64888008691</v>
      </c>
      <c r="S594" t="s">
        <v>56</v>
      </c>
      <c r="T594">
        <v>1</v>
      </c>
      <c r="U594" t="s">
        <v>61</v>
      </c>
      <c r="V594" t="s">
        <v>77</v>
      </c>
      <c r="W594">
        <v>0</v>
      </c>
      <c r="X594">
        <v>0</v>
      </c>
      <c r="Y594">
        <v>48</v>
      </c>
      <c r="Z594">
        <v>59</v>
      </c>
      <c r="AA594">
        <v>60</v>
      </c>
      <c r="AB594">
        <v>2000</v>
      </c>
      <c r="AC594">
        <v>1937</v>
      </c>
      <c r="AD594">
        <v>1937</v>
      </c>
      <c r="AE594">
        <v>0</v>
      </c>
      <c r="AF594">
        <v>0</v>
      </c>
      <c r="AG594">
        <v>0</v>
      </c>
      <c r="AH594">
        <v>0</v>
      </c>
      <c r="AI594">
        <v>475</v>
      </c>
      <c r="AJ594">
        <v>0</v>
      </c>
      <c r="AK594">
        <v>0</v>
      </c>
      <c r="AL594">
        <v>0</v>
      </c>
      <c r="AM594">
        <v>280</v>
      </c>
      <c r="AN594">
        <v>0</v>
      </c>
      <c r="AO594">
        <v>0</v>
      </c>
      <c r="AP594">
        <v>8</v>
      </c>
      <c r="AQ594">
        <v>0</v>
      </c>
      <c r="AR594">
        <v>1</v>
      </c>
      <c r="AS594" t="s">
        <v>59</v>
      </c>
      <c r="AT594">
        <v>1</v>
      </c>
      <c r="AU594" t="s">
        <v>63</v>
      </c>
      <c r="AV594" t="s">
        <v>65</v>
      </c>
      <c r="AW594">
        <v>1</v>
      </c>
      <c r="AX594">
        <v>3</v>
      </c>
      <c r="AY594">
        <v>0</v>
      </c>
      <c r="AZ594">
        <v>0</v>
      </c>
      <c r="BA594">
        <v>100</v>
      </c>
      <c r="BB594">
        <v>100</v>
      </c>
      <c r="BC594">
        <v>100</v>
      </c>
      <c r="BD594">
        <v>100</v>
      </c>
      <c r="BE594">
        <v>1</v>
      </c>
      <c r="BF594">
        <v>15000</v>
      </c>
      <c r="BG594">
        <v>1000</v>
      </c>
      <c r="BH594" s="8">
        <f>Granger_Inventory[[#This Row],[land_extract]]*Lookups!$B$3</f>
        <v>60767.311081053282</v>
      </c>
      <c r="BI594" s="8">
        <f>IF(Granger_Inventory[[#This Row],[bldg_style]]="",0,Lookups!$B$2)</f>
        <v>29703.559000000001</v>
      </c>
      <c r="BJ594" s="8">
        <f>_xlfn.IFNA(VLOOKUP(Granger_Inventory[[#This Row],[quality]],Lookups!$H$2:$J$14,3,FALSE),0)</f>
        <v>71767</v>
      </c>
      <c r="BK594" s="8">
        <f>_xlfn.IFNA(VLOOKUP(Granger_Inventory[[#This Row],[condition]],Lookups!$H$17:$J$24,3,FALSE),0)</f>
        <v>33736</v>
      </c>
      <c r="BL594" s="8">
        <f>Granger_Inventory[[#This Row],[Age]]*Lookups!$B$16</f>
        <v>-12232.534899999999</v>
      </c>
      <c r="BM594" s="8">
        <f>Granger_Inventory[[#This Row],[living_area]]*Lookups!$B$17</f>
        <v>130307.624733</v>
      </c>
      <c r="BN594" s="8">
        <f>(Granger_Inventory[[#This Row],[att_gar]]+Granger_Inventory[[#This Row],[blt_gar]])*Lookups!$B$18</f>
        <v>23012.603350000001</v>
      </c>
      <c r="BO594" s="8">
        <f>Granger_Inventory[[#This Row],[Patio]]*Lookups!$B$19</f>
        <v>15208.226879999998</v>
      </c>
      <c r="BP594" s="8">
        <f>SUM(Granger_Inventory[[#This Row],[Intercept]:[Patio_Value]])*Granger_Inventory[[#This Row],[res_pct]]</f>
        <v>291502.47906300001</v>
      </c>
      <c r="BQ594" s="8">
        <f>Granger_Inventory[[#This Row],[land_value]]</f>
        <v>60767.311081053282</v>
      </c>
      <c r="BR594" s="4">
        <f>_xlfn.IFNA(VLOOKUP(Granger_Inventory[[#This Row],[quality]],Lookups!$A$25:$C$35,3,FALSE),1)</f>
        <v>0.992092799099482</v>
      </c>
      <c r="BS594" s="4">
        <f>_xlfn.IFNA(VLOOKUP(Granger_Inventory[[#This Row],[condition]],Lookups!$A$38:$C$45,3,FALSE),1)</f>
        <v>0.92294678898076177</v>
      </c>
      <c r="BT594" s="4">
        <f>IF(Granger_Inventory[[#This Row],[decade]]="",1,_xlfn.IFNA(VLOOKUP(Granger_Inventory[[#This Row],[decade]],Lookups!$G$28:$I$42,3,FALSE),1))</f>
        <v>0.86581421791274704</v>
      </c>
      <c r="BU594" s="4">
        <f>_xlfn.IFNA(VLOOKUP(Granger_Inventory[[#This Row],[living_area_range]],Lookups!$A$48:$C$57,3,FALSE),1)</f>
        <v>0.97860968051050168</v>
      </c>
      <c r="BV594" s="4">
        <f>AVERAGE(Granger_Inventory[[#This Row],[qual_adj]:[living_range_adj]])</f>
        <v>0.93986587162587321</v>
      </c>
      <c r="BW594" s="8">
        <f>(Granger_Inventory[[#This Row],[sum_land]]-IF(Granger_Inventory[[#This Row],[no_utilities]]=1,12000,0))/IF(Granger_Inventory[[#This Row],[unbuildable]]=1,2,1)</f>
        <v>60767.311081053282</v>
      </c>
      <c r="BX594" s="8">
        <f>Granger_Inventory[[#This Row],[pre_res]]*Granger_Inventory[[#This Row],[overall_adj]]</f>
        <v>273973.23156564933</v>
      </c>
      <c r="BY594">
        <f>IF(ROUND(Granger_Inventory[[#This Row],[adj_land]]*Lookups!$I$45,-2)&lt;Granger_Inventory[[#This Row],[min_land]],Granger_Inventory[[#This Row],[min_land]],ROUND(Granger_Inventory[[#This Row],[adj_land]]*Lookups!$I$45,-2))</f>
        <v>57700</v>
      </c>
      <c r="BZ594">
        <f>ROUND(Granger_Inventory[[#This Row],[detatched_value]]*Lookups!$I$45,-2)</f>
        <v>0</v>
      </c>
      <c r="CA594">
        <f>IF(ROUND(Granger_Inventory[[#This Row],[adj_res]]*Lookups!$I$45,-2)&lt;Granger_Inventory[[#This Row],[min_res]],Granger_Inventory[[#This Row],[min_res]],ROUND(Granger_Inventory[[#This Row],[adj_res]]*Lookups!$I$45,-2))</f>
        <v>260300</v>
      </c>
      <c r="CB594">
        <f>Granger_Inventory[[#This Row],[final_det]]+Granger_Inventory[[#This Row],[final_res]]</f>
        <v>260300</v>
      </c>
      <c r="CC594">
        <f>Granger_Inventory[[#This Row],[final_land]]+Granger_Inventory[[#This Row],[final_imp]]+Granger_Inventory[[#This Row],[crop_value]]</f>
        <v>318000</v>
      </c>
      <c r="CE594" t="str">
        <f t="shared" si="9"/>
        <v>update valuation set market_land =57700, market_bldg=260300, market_total =318000, market_mdno =402, market_date ='9/10/2023' where link_id = (select link_id from parcel where parcel_year = '2024' and parcel_id = '21102232414');</v>
      </c>
    </row>
    <row r="595" spans="1:83" x14ac:dyDescent="0.25">
      <c r="A595">
        <v>21102232416</v>
      </c>
      <c r="B595">
        <v>0.97</v>
      </c>
      <c r="C595">
        <v>42317</v>
      </c>
      <c r="D595" t="s">
        <v>137</v>
      </c>
      <c r="E595" t="s">
        <v>54</v>
      </c>
      <c r="F595" t="s">
        <v>54</v>
      </c>
      <c r="G595">
        <v>3</v>
      </c>
      <c r="H595" t="s">
        <v>55</v>
      </c>
      <c r="I595">
        <v>208300</v>
      </c>
      <c r="J595">
        <v>37400</v>
      </c>
      <c r="K595">
        <v>0.97</v>
      </c>
      <c r="L595">
        <f>IF(Granger_Inventory[[#This Row],[parcel_acres]]-Granger_Inventory[[#This Row],[non_valued_acres]] =0,0,LN(Granger_Inventory[[#This Row],[parcel_acres]]-Granger_Inventory[[#This Row],[non_valued_acres]]))</f>
        <v>-3.0459207484708574E-2</v>
      </c>
      <c r="M595">
        <v>0</v>
      </c>
      <c r="N595">
        <v>0</v>
      </c>
      <c r="O595">
        <v>0</v>
      </c>
      <c r="P595">
        <v>47108.068500000001</v>
      </c>
      <c r="Q595">
        <v>122298</v>
      </c>
      <c r="R595">
        <f>(Granger_Inventory[[#This Row],[ln_acres]]*Granger_Inventory[[#This Row],[coeff]])+Granger_Inventory[[#This Row],[const]]</f>
        <v>120863.12556735464</v>
      </c>
      <c r="S595" t="s">
        <v>69</v>
      </c>
      <c r="T595">
        <v>1</v>
      </c>
      <c r="U595" t="s">
        <v>71</v>
      </c>
      <c r="V595" t="s">
        <v>72</v>
      </c>
      <c r="W595">
        <v>0</v>
      </c>
      <c r="X595">
        <v>0</v>
      </c>
      <c r="Y595">
        <v>51</v>
      </c>
      <c r="Z595">
        <v>83</v>
      </c>
      <c r="AA595">
        <v>90</v>
      </c>
      <c r="AB595">
        <v>1500</v>
      </c>
      <c r="AC595">
        <v>1320</v>
      </c>
      <c r="AD595">
        <v>1320</v>
      </c>
      <c r="AE595">
        <v>0</v>
      </c>
      <c r="AF595">
        <v>0</v>
      </c>
      <c r="AG595">
        <v>0</v>
      </c>
      <c r="AH595">
        <v>312</v>
      </c>
      <c r="AI595">
        <v>0</v>
      </c>
      <c r="AJ595">
        <v>0</v>
      </c>
      <c r="AK595">
        <v>0</v>
      </c>
      <c r="AL595">
        <v>0</v>
      </c>
      <c r="AM595">
        <v>192</v>
      </c>
      <c r="AN595">
        <v>0</v>
      </c>
      <c r="AO595">
        <v>0</v>
      </c>
      <c r="AP595">
        <v>5</v>
      </c>
      <c r="AQ595">
        <v>0</v>
      </c>
      <c r="AR595">
        <v>0</v>
      </c>
      <c r="AS595" t="s">
        <v>59</v>
      </c>
      <c r="AT595">
        <v>1</v>
      </c>
      <c r="AU595" t="s">
        <v>60</v>
      </c>
      <c r="AV595" t="s">
        <v>145</v>
      </c>
      <c r="AW595">
        <v>0</v>
      </c>
      <c r="AX595">
        <v>3</v>
      </c>
      <c r="AY595">
        <v>0</v>
      </c>
      <c r="AZ595">
        <v>33000</v>
      </c>
      <c r="BA595">
        <v>100</v>
      </c>
      <c r="BB595">
        <v>100</v>
      </c>
      <c r="BC595">
        <v>100</v>
      </c>
      <c r="BD595">
        <v>100</v>
      </c>
      <c r="BE595">
        <v>1</v>
      </c>
      <c r="BF595">
        <v>15000</v>
      </c>
      <c r="BG595">
        <v>1000</v>
      </c>
      <c r="BH595" s="8">
        <f>Granger_Inventory[[#This Row],[land_extract]]*Lookups!$B$3</f>
        <v>72001.886484740637</v>
      </c>
      <c r="BI595" s="8">
        <f>IF(Granger_Inventory[[#This Row],[bldg_style]]="",0,Lookups!$B$2)</f>
        <v>29703.559000000001</v>
      </c>
      <c r="BJ595" s="8">
        <f>_xlfn.IFNA(VLOOKUP(Granger_Inventory[[#This Row],[quality]],Lookups!$H$2:$J$14,3,FALSE),0)</f>
        <v>34195</v>
      </c>
      <c r="BK595" s="8">
        <f>_xlfn.IFNA(VLOOKUP(Granger_Inventory[[#This Row],[condition]],Lookups!$H$17:$J$24,3,FALSE),0)</f>
        <v>94106</v>
      </c>
      <c r="BL595" s="8">
        <f>Granger_Inventory[[#This Row],[Age]]*Lookups!$B$16</f>
        <v>-17208.481299999999</v>
      </c>
      <c r="BM595" s="8">
        <f>Granger_Inventory[[#This Row],[living_area]]*Lookups!$B$17</f>
        <v>88800.239879999994</v>
      </c>
      <c r="BN595" s="8">
        <f>(Granger_Inventory[[#This Row],[att_gar]]+Granger_Inventory[[#This Row],[blt_gar]])*Lookups!$B$18</f>
        <v>0</v>
      </c>
      <c r="BO595" s="8">
        <f>Granger_Inventory[[#This Row],[Patio]]*Lookups!$B$19</f>
        <v>10428.498432</v>
      </c>
      <c r="BP595" s="8">
        <f>SUM(Granger_Inventory[[#This Row],[Intercept]:[Patio_Value]])*Granger_Inventory[[#This Row],[res_pct]]</f>
        <v>240024.81601200002</v>
      </c>
      <c r="BQ595" s="8">
        <f>Granger_Inventory[[#This Row],[land_value]]</f>
        <v>72001.886484740637</v>
      </c>
      <c r="BR595" s="4">
        <f>_xlfn.IFNA(VLOOKUP(Granger_Inventory[[#This Row],[quality]],Lookups!$A$25:$C$35,3,FALSE),1)</f>
        <v>0.98258795897788032</v>
      </c>
      <c r="BS595" s="4">
        <f>_xlfn.IFNA(VLOOKUP(Granger_Inventory[[#This Row],[condition]],Lookups!$A$38:$C$45,3,FALSE),1)</f>
        <v>0.98658583151544277</v>
      </c>
      <c r="BT595" s="4">
        <f>IF(Granger_Inventory[[#This Row],[decade]]="",1,_xlfn.IFNA(VLOOKUP(Granger_Inventory[[#This Row],[decade]],Lookups!$G$28:$I$42,3,FALSE),1))</f>
        <v>0.95234610137492615</v>
      </c>
      <c r="BU595" s="4">
        <f>_xlfn.IFNA(VLOOKUP(Granger_Inventory[[#This Row],[living_area_range]],Lookups!$A$48:$C$57,3,FALSE),1)</f>
        <v>0.97960506760539345</v>
      </c>
      <c r="BV595" s="4">
        <f>AVERAGE(Granger_Inventory[[#This Row],[qual_adj]:[living_range_adj]])</f>
        <v>0.97528123986841075</v>
      </c>
      <c r="BW595" s="8">
        <f>(Granger_Inventory[[#This Row],[sum_land]]-IF(Granger_Inventory[[#This Row],[no_utilities]]=1,12000,0))/IF(Granger_Inventory[[#This Row],[unbuildable]]=1,2,1)</f>
        <v>72001.886484740637</v>
      </c>
      <c r="BX595" s="8">
        <f>Granger_Inventory[[#This Row],[pre_res]]*Granger_Inventory[[#This Row],[overall_adj]]</f>
        <v>234091.70015937055</v>
      </c>
      <c r="BY595">
        <f>IF(ROUND(Granger_Inventory[[#This Row],[adj_land]]*Lookups!$I$45,-2)&lt;Granger_Inventory[[#This Row],[min_land]],Granger_Inventory[[#This Row],[min_land]],ROUND(Granger_Inventory[[#This Row],[adj_land]]*Lookups!$I$45,-2))</f>
        <v>68400</v>
      </c>
      <c r="BZ595">
        <f>ROUND(Granger_Inventory[[#This Row],[detatched_value]]*Lookups!$I$45,-2)</f>
        <v>31400</v>
      </c>
      <c r="CA595">
        <f>IF(ROUND(Granger_Inventory[[#This Row],[adj_res]]*Lookups!$I$45,-2)&lt;Granger_Inventory[[#This Row],[min_res]],Granger_Inventory[[#This Row],[min_res]],ROUND(Granger_Inventory[[#This Row],[adj_res]]*Lookups!$I$45,-2))</f>
        <v>222400</v>
      </c>
      <c r="CB595">
        <f>Granger_Inventory[[#This Row],[final_det]]+Granger_Inventory[[#This Row],[final_res]]</f>
        <v>253800</v>
      </c>
      <c r="CC595">
        <f>Granger_Inventory[[#This Row],[final_land]]+Granger_Inventory[[#This Row],[final_imp]]+Granger_Inventory[[#This Row],[crop_value]]</f>
        <v>322200</v>
      </c>
      <c r="CE595" t="str">
        <f t="shared" si="9"/>
        <v>update valuation set market_land =68400, market_bldg=253800, market_total =322200, market_mdno =402, market_date ='9/10/2023' where link_id = (select link_id from parcel where parcel_year = '2024' and parcel_id = '21102232416');</v>
      </c>
    </row>
    <row r="596" spans="1:83" x14ac:dyDescent="0.25">
      <c r="A596">
        <v>21102232419</v>
      </c>
      <c r="B596">
        <v>0.64</v>
      </c>
      <c r="C596" t="s">
        <v>137</v>
      </c>
      <c r="D596" t="s">
        <v>137</v>
      </c>
      <c r="E596" t="s">
        <v>54</v>
      </c>
      <c r="F596" t="s">
        <v>54</v>
      </c>
      <c r="G596">
        <v>3</v>
      </c>
      <c r="H596" t="s">
        <v>55</v>
      </c>
      <c r="I596">
        <v>307500</v>
      </c>
      <c r="J596">
        <v>34900</v>
      </c>
      <c r="K596">
        <v>0.64</v>
      </c>
      <c r="L596">
        <f>IF(Granger_Inventory[[#This Row],[parcel_acres]]-Granger_Inventory[[#This Row],[non_valued_acres]] =0,0,LN(Granger_Inventory[[#This Row],[parcel_acres]]-Granger_Inventory[[#This Row],[non_valued_acres]]))</f>
        <v>-0.44628710262841947</v>
      </c>
      <c r="M596">
        <v>0</v>
      </c>
      <c r="N596">
        <v>0</v>
      </c>
      <c r="O596">
        <v>0</v>
      </c>
      <c r="P596">
        <v>47108.068500000001</v>
      </c>
      <c r="Q596">
        <v>122298</v>
      </c>
      <c r="R596">
        <f>(Granger_Inventory[[#This Row],[ln_acres]]*Granger_Inventory[[#This Row],[coeff]])+Granger_Inventory[[#This Row],[const]]</f>
        <v>101274.27659871388</v>
      </c>
      <c r="S596" t="s">
        <v>108</v>
      </c>
      <c r="T596">
        <v>1</v>
      </c>
      <c r="U596" t="s">
        <v>57</v>
      </c>
      <c r="V596" t="s">
        <v>77</v>
      </c>
      <c r="W596">
        <v>0</v>
      </c>
      <c r="X596">
        <v>0</v>
      </c>
      <c r="Y596">
        <v>45</v>
      </c>
      <c r="Z596">
        <v>50</v>
      </c>
      <c r="AA596">
        <v>50</v>
      </c>
      <c r="AB596">
        <v>2500</v>
      </c>
      <c r="AC596">
        <v>2302</v>
      </c>
      <c r="AD596">
        <v>1573</v>
      </c>
      <c r="AE596">
        <v>0</v>
      </c>
      <c r="AF596">
        <v>0</v>
      </c>
      <c r="AG596">
        <v>729</v>
      </c>
      <c r="AH596">
        <v>30</v>
      </c>
      <c r="AI596">
        <v>520</v>
      </c>
      <c r="AJ596">
        <v>0</v>
      </c>
      <c r="AK596">
        <v>0</v>
      </c>
      <c r="AL596">
        <v>0</v>
      </c>
      <c r="AM596">
        <v>0</v>
      </c>
      <c r="AN596">
        <v>84</v>
      </c>
      <c r="AO596">
        <v>0</v>
      </c>
      <c r="AP596">
        <v>11</v>
      </c>
      <c r="AQ596">
        <v>0</v>
      </c>
      <c r="AR596">
        <v>1</v>
      </c>
      <c r="AS596" t="s">
        <v>59</v>
      </c>
      <c r="AT596">
        <v>1</v>
      </c>
      <c r="AU596" t="s">
        <v>60</v>
      </c>
      <c r="AV596" t="s">
        <v>65</v>
      </c>
      <c r="AW596">
        <v>1</v>
      </c>
      <c r="AX596">
        <v>4</v>
      </c>
      <c r="AY596">
        <v>0</v>
      </c>
      <c r="AZ596">
        <v>0</v>
      </c>
      <c r="BA596">
        <v>100</v>
      </c>
      <c r="BB596">
        <v>100</v>
      </c>
      <c r="BC596">
        <v>100</v>
      </c>
      <c r="BD596">
        <v>100</v>
      </c>
      <c r="BE596">
        <v>1</v>
      </c>
      <c r="BF596">
        <v>15000</v>
      </c>
      <c r="BG596">
        <v>1000</v>
      </c>
      <c r="BH596" s="8">
        <f>Granger_Inventory[[#This Row],[land_extract]]*Lookups!$B$3</f>
        <v>60332.2058175731</v>
      </c>
      <c r="BI596" s="8">
        <f>IF(Granger_Inventory[[#This Row],[bldg_style]]="",0,Lookups!$B$2)</f>
        <v>29703.559000000001</v>
      </c>
      <c r="BJ596" s="8">
        <f>_xlfn.IFNA(VLOOKUP(Granger_Inventory[[#This Row],[quality]],Lookups!$H$2:$J$14,3,FALSE),0)</f>
        <v>56414</v>
      </c>
      <c r="BK596" s="8">
        <f>_xlfn.IFNA(VLOOKUP(Granger_Inventory[[#This Row],[condition]],Lookups!$H$17:$J$24,3,FALSE),0)</f>
        <v>33736</v>
      </c>
      <c r="BL596" s="8">
        <f>Granger_Inventory[[#This Row],[Age]]*Lookups!$B$16</f>
        <v>-10366.555</v>
      </c>
      <c r="BM596" s="8">
        <f>Granger_Inventory[[#This Row],[living_area]]*Lookups!$B$17</f>
        <v>154862.23651799999</v>
      </c>
      <c r="BN596" s="8">
        <f>(Granger_Inventory[[#This Row],[att_gar]]+Granger_Inventory[[#This Row],[blt_gar]])*Lookups!$B$18</f>
        <v>25192.744720000002</v>
      </c>
      <c r="BO596" s="8">
        <f>Granger_Inventory[[#This Row],[Patio]]*Lookups!$B$19</f>
        <v>0</v>
      </c>
      <c r="BP596" s="8">
        <f>SUM(Granger_Inventory[[#This Row],[Intercept]:[Patio_Value]])*Granger_Inventory[[#This Row],[res_pct]]</f>
        <v>289541.98523799999</v>
      </c>
      <c r="BQ596" s="8">
        <f>Granger_Inventory[[#This Row],[land_value]]</f>
        <v>60332.2058175731</v>
      </c>
      <c r="BR596" s="4">
        <f>_xlfn.IFNA(VLOOKUP(Granger_Inventory[[#This Row],[quality]],Lookups!$A$25:$C$35,3,FALSE),1)</f>
        <v>0.98791809110152173</v>
      </c>
      <c r="BS596" s="4">
        <f>_xlfn.IFNA(VLOOKUP(Granger_Inventory[[#This Row],[condition]],Lookups!$A$38:$C$45,3,FALSE),1)</f>
        <v>0.92294678898076177</v>
      </c>
      <c r="BT596" s="4">
        <f>IF(Granger_Inventory[[#This Row],[decade]]="",1,_xlfn.IFNA(VLOOKUP(Granger_Inventory[[#This Row],[decade]],Lookups!$G$28:$I$42,3,FALSE),1))</f>
        <v>1.2441094871772171</v>
      </c>
      <c r="BU596" s="4">
        <f>_xlfn.IFNA(VLOOKUP(Granger_Inventory[[#This Row],[living_area_range]],Lookups!$A$48:$C$57,3,FALSE),1)</f>
        <v>1.0000039906678986</v>
      </c>
      <c r="BV596" s="4">
        <f>AVERAGE(Granger_Inventory[[#This Row],[qual_adj]:[living_range_adj]])</f>
        <v>1.0387445894818499</v>
      </c>
      <c r="BW596" s="8">
        <f>(Granger_Inventory[[#This Row],[sum_land]]-IF(Granger_Inventory[[#This Row],[no_utilities]]=1,12000,0))/IF(Granger_Inventory[[#This Row],[unbuildable]]=1,2,1)</f>
        <v>60332.2058175731</v>
      </c>
      <c r="BX596" s="8">
        <f>Granger_Inventory[[#This Row],[pre_res]]*Granger_Inventory[[#This Row],[overall_adj]]</f>
        <v>300760.17059380614</v>
      </c>
      <c r="BY596">
        <f>IF(ROUND(Granger_Inventory[[#This Row],[adj_land]]*Lookups!$I$45,-2)&lt;Granger_Inventory[[#This Row],[min_land]],Granger_Inventory[[#This Row],[min_land]],ROUND(Granger_Inventory[[#This Row],[adj_land]]*Lookups!$I$45,-2))</f>
        <v>57300</v>
      </c>
      <c r="BZ596">
        <f>ROUND(Granger_Inventory[[#This Row],[detatched_value]]*Lookups!$I$45,-2)</f>
        <v>0</v>
      </c>
      <c r="CA596">
        <f>IF(ROUND(Granger_Inventory[[#This Row],[adj_res]]*Lookups!$I$45,-2)&lt;Granger_Inventory[[#This Row],[min_res]],Granger_Inventory[[#This Row],[min_res]],ROUND(Granger_Inventory[[#This Row],[adj_res]]*Lookups!$I$45,-2))</f>
        <v>285700</v>
      </c>
      <c r="CB596">
        <f>Granger_Inventory[[#This Row],[final_det]]+Granger_Inventory[[#This Row],[final_res]]</f>
        <v>285700</v>
      </c>
      <c r="CC596">
        <f>Granger_Inventory[[#This Row],[final_land]]+Granger_Inventory[[#This Row],[final_imp]]+Granger_Inventory[[#This Row],[crop_value]]</f>
        <v>343000</v>
      </c>
      <c r="CE596" t="str">
        <f t="shared" si="9"/>
        <v>update valuation set market_land =57300, market_bldg=285700, market_total =343000, market_mdno =402, market_date ='9/10/2023' where link_id = (select link_id from parcel where parcel_year = '2024' and parcel_id = '21102232419');</v>
      </c>
    </row>
    <row r="597" spans="1:83" x14ac:dyDescent="0.25">
      <c r="A597">
        <v>21102232426</v>
      </c>
      <c r="B597">
        <v>0.47</v>
      </c>
      <c r="C597">
        <v>20309</v>
      </c>
      <c r="D597" t="s">
        <v>137</v>
      </c>
      <c r="E597" t="s">
        <v>54</v>
      </c>
      <c r="F597" t="s">
        <v>54</v>
      </c>
      <c r="G597">
        <v>3</v>
      </c>
      <c r="H597" t="s">
        <v>55</v>
      </c>
      <c r="I597">
        <v>198000</v>
      </c>
      <c r="J597">
        <v>33100</v>
      </c>
      <c r="K597">
        <v>0.47</v>
      </c>
      <c r="L597">
        <f>IF(Granger_Inventory[[#This Row],[parcel_acres]]-Granger_Inventory[[#This Row],[non_valued_acres]] =0,0,LN(Granger_Inventory[[#This Row],[parcel_acres]]-Granger_Inventory[[#This Row],[non_valued_acres]]))</f>
        <v>-0.75502258427803282</v>
      </c>
      <c r="M597">
        <v>0</v>
      </c>
      <c r="N597">
        <v>0</v>
      </c>
      <c r="O597">
        <v>0</v>
      </c>
      <c r="P597">
        <v>47108.068500000001</v>
      </c>
      <c r="Q597">
        <v>122298</v>
      </c>
      <c r="R597">
        <f>(Granger_Inventory[[#This Row],[ln_acres]]*Granger_Inventory[[#This Row],[coeff]])+Granger_Inventory[[#This Row],[const]]</f>
        <v>86730.344380783412</v>
      </c>
      <c r="S597" t="s">
        <v>59</v>
      </c>
      <c r="T597">
        <v>1</v>
      </c>
      <c r="U597" t="s">
        <v>71</v>
      </c>
      <c r="V597" t="s">
        <v>77</v>
      </c>
      <c r="W597">
        <v>0</v>
      </c>
      <c r="X597">
        <v>0</v>
      </c>
      <c r="Y597">
        <v>39</v>
      </c>
      <c r="Z597">
        <v>39</v>
      </c>
      <c r="AA597">
        <v>40</v>
      </c>
      <c r="AB597">
        <v>2000</v>
      </c>
      <c r="AC597">
        <v>1560</v>
      </c>
      <c r="AD597">
        <v>1560</v>
      </c>
      <c r="AE597">
        <v>0</v>
      </c>
      <c r="AF597">
        <v>0</v>
      </c>
      <c r="AG597">
        <v>0</v>
      </c>
      <c r="AH597">
        <v>0</v>
      </c>
      <c r="AI597">
        <v>364</v>
      </c>
      <c r="AJ597">
        <v>0</v>
      </c>
      <c r="AK597">
        <v>0</v>
      </c>
      <c r="AL597">
        <v>200</v>
      </c>
      <c r="AM597">
        <v>0</v>
      </c>
      <c r="AN597">
        <v>0</v>
      </c>
      <c r="AO597">
        <v>200</v>
      </c>
      <c r="AP597">
        <v>8</v>
      </c>
      <c r="AQ597">
        <v>0</v>
      </c>
      <c r="AR597">
        <v>0</v>
      </c>
      <c r="AS597" t="s">
        <v>59</v>
      </c>
      <c r="AT597">
        <v>1</v>
      </c>
      <c r="AU597" t="s">
        <v>60</v>
      </c>
      <c r="AV597" t="s">
        <v>65</v>
      </c>
      <c r="AW597">
        <v>1</v>
      </c>
      <c r="AX597">
        <v>3</v>
      </c>
      <c r="AY597">
        <v>0</v>
      </c>
      <c r="AZ597">
        <v>0</v>
      </c>
      <c r="BA597">
        <v>100</v>
      </c>
      <c r="BB597">
        <v>100</v>
      </c>
      <c r="BC597">
        <v>100</v>
      </c>
      <c r="BD597">
        <v>100</v>
      </c>
      <c r="BE597">
        <v>1</v>
      </c>
      <c r="BF597">
        <v>15000</v>
      </c>
      <c r="BG597">
        <v>1000</v>
      </c>
      <c r="BH597" s="8">
        <f>Granger_Inventory[[#This Row],[land_extract]]*Lookups!$B$3</f>
        <v>51667.937442239607</v>
      </c>
      <c r="BI597" s="8">
        <f>IF(Granger_Inventory[[#This Row],[bldg_style]]="",0,Lookups!$B$2)</f>
        <v>29703.559000000001</v>
      </c>
      <c r="BJ597" s="8">
        <f>_xlfn.IFNA(VLOOKUP(Granger_Inventory[[#This Row],[quality]],Lookups!$H$2:$J$14,3,FALSE),0)</f>
        <v>34195</v>
      </c>
      <c r="BK597" s="8">
        <f>_xlfn.IFNA(VLOOKUP(Granger_Inventory[[#This Row],[condition]],Lookups!$H$17:$J$24,3,FALSE),0)</f>
        <v>33736</v>
      </c>
      <c r="BL597" s="8">
        <f>Granger_Inventory[[#This Row],[Age]]*Lookups!$B$16</f>
        <v>-8085.9128999999994</v>
      </c>
      <c r="BM597" s="8">
        <f>Granger_Inventory[[#This Row],[living_area]]*Lookups!$B$17</f>
        <v>104945.73804</v>
      </c>
      <c r="BN597" s="8">
        <f>(Granger_Inventory[[#This Row],[att_gar]]+Granger_Inventory[[#This Row],[blt_gar]])*Lookups!$B$18</f>
        <v>17634.921304</v>
      </c>
      <c r="BO597" s="8">
        <f>Granger_Inventory[[#This Row],[Patio]]*Lookups!$B$19</f>
        <v>0</v>
      </c>
      <c r="BP597" s="8">
        <f>SUM(Granger_Inventory[[#This Row],[Intercept]:[Patio_Value]])*Granger_Inventory[[#This Row],[res_pct]]</f>
        <v>212129.305444</v>
      </c>
      <c r="BQ597" s="8">
        <f>Granger_Inventory[[#This Row],[land_value]]</f>
        <v>51667.937442239607</v>
      </c>
      <c r="BR597" s="4">
        <f>_xlfn.IFNA(VLOOKUP(Granger_Inventory[[#This Row],[quality]],Lookups!$A$25:$C$35,3,FALSE),1)</f>
        <v>0.98258795897788032</v>
      </c>
      <c r="BS597" s="4">
        <f>_xlfn.IFNA(VLOOKUP(Granger_Inventory[[#This Row],[condition]],Lookups!$A$38:$C$45,3,FALSE),1)</f>
        <v>0.92294678898076177</v>
      </c>
      <c r="BT597" s="4">
        <f>IF(Granger_Inventory[[#This Row],[decade]]="",1,_xlfn.IFNA(VLOOKUP(Granger_Inventory[[#This Row],[decade]],Lookups!$G$28:$I$42,3,FALSE),1))</f>
        <v>0.98127609555109363</v>
      </c>
      <c r="BU597" s="4">
        <f>_xlfn.IFNA(VLOOKUP(Granger_Inventory[[#This Row],[living_area_range]],Lookups!$A$48:$C$57,3,FALSE),1)</f>
        <v>0.97860968051050168</v>
      </c>
      <c r="BV597" s="4">
        <f>AVERAGE(Granger_Inventory[[#This Row],[qual_adj]:[living_range_adj]])</f>
        <v>0.96635513100505932</v>
      </c>
      <c r="BW597" s="8">
        <f>(Granger_Inventory[[#This Row],[sum_land]]-IF(Granger_Inventory[[#This Row],[no_utilities]]=1,12000,0))/IF(Granger_Inventory[[#This Row],[unbuildable]]=1,2,1)</f>
        <v>51667.937442239607</v>
      </c>
      <c r="BX597" s="8">
        <f>Granger_Inventory[[#This Row],[pre_res]]*Granger_Inventory[[#This Row],[overall_adj]]</f>
        <v>204992.24275234886</v>
      </c>
      <c r="BY597">
        <f>IF(ROUND(Granger_Inventory[[#This Row],[adj_land]]*Lookups!$I$45,-2)&lt;Granger_Inventory[[#This Row],[min_land]],Granger_Inventory[[#This Row],[min_land]],ROUND(Granger_Inventory[[#This Row],[adj_land]]*Lookups!$I$45,-2))</f>
        <v>49100</v>
      </c>
      <c r="BZ597">
        <f>ROUND(Granger_Inventory[[#This Row],[detatched_value]]*Lookups!$I$45,-2)</f>
        <v>0</v>
      </c>
      <c r="CA597">
        <f>IF(ROUND(Granger_Inventory[[#This Row],[adj_res]]*Lookups!$I$45,-2)&lt;Granger_Inventory[[#This Row],[min_res]],Granger_Inventory[[#This Row],[min_res]],ROUND(Granger_Inventory[[#This Row],[adj_res]]*Lookups!$I$45,-2))</f>
        <v>194700</v>
      </c>
      <c r="CB597">
        <f>Granger_Inventory[[#This Row],[final_det]]+Granger_Inventory[[#This Row],[final_res]]</f>
        <v>194700</v>
      </c>
      <c r="CC597">
        <f>Granger_Inventory[[#This Row],[final_land]]+Granger_Inventory[[#This Row],[final_imp]]+Granger_Inventory[[#This Row],[crop_value]]</f>
        <v>243800</v>
      </c>
      <c r="CE597" t="str">
        <f t="shared" si="9"/>
        <v>update valuation set market_land =49100, market_bldg=194700, market_total =243800, market_mdno =402, market_date ='9/10/2023' where link_id = (select link_id from parcel where parcel_year = '2024' and parcel_id = '21102232426');</v>
      </c>
    </row>
    <row r="598" spans="1:83" x14ac:dyDescent="0.25">
      <c r="A598">
        <v>21102232434</v>
      </c>
      <c r="B598">
        <v>0.39</v>
      </c>
      <c r="C598">
        <v>16808</v>
      </c>
      <c r="D598" t="s">
        <v>137</v>
      </c>
      <c r="E598" t="s">
        <v>54</v>
      </c>
      <c r="F598" t="s">
        <v>54</v>
      </c>
      <c r="G598">
        <v>3</v>
      </c>
      <c r="H598" t="s">
        <v>55</v>
      </c>
      <c r="I598">
        <v>117800</v>
      </c>
      <c r="J598">
        <v>32000</v>
      </c>
      <c r="K598">
        <v>0.39</v>
      </c>
      <c r="L598">
        <f>IF(Granger_Inventory[[#This Row],[parcel_acres]]-Granger_Inventory[[#This Row],[non_valued_acres]] =0,0,LN(Granger_Inventory[[#This Row],[parcel_acres]]-Granger_Inventory[[#This Row],[non_valued_acres]]))</f>
        <v>-0.94160853985844495</v>
      </c>
      <c r="M598">
        <v>0</v>
      </c>
      <c r="N598">
        <v>0</v>
      </c>
      <c r="O598">
        <v>0</v>
      </c>
      <c r="P598">
        <v>47108.068500000001</v>
      </c>
      <c r="Q598">
        <v>122298</v>
      </c>
      <c r="R598">
        <f>(Granger_Inventory[[#This Row],[ln_acres]]*Granger_Inventory[[#This Row],[coeff]])+Granger_Inventory[[#This Row],[const]]</f>
        <v>77940.640404163394</v>
      </c>
      <c r="S598" t="s">
        <v>56</v>
      </c>
      <c r="T598">
        <v>1</v>
      </c>
      <c r="U598" t="s">
        <v>71</v>
      </c>
      <c r="V598" t="s">
        <v>77</v>
      </c>
      <c r="W598">
        <v>0</v>
      </c>
      <c r="X598">
        <v>0</v>
      </c>
      <c r="Y598">
        <v>47</v>
      </c>
      <c r="Z598">
        <v>58</v>
      </c>
      <c r="AA598">
        <v>60</v>
      </c>
      <c r="AB598">
        <v>1500</v>
      </c>
      <c r="AC598">
        <v>1146</v>
      </c>
      <c r="AD598">
        <v>1146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270</v>
      </c>
      <c r="AN598">
        <v>0</v>
      </c>
      <c r="AO598">
        <v>216</v>
      </c>
      <c r="AP598">
        <v>5</v>
      </c>
      <c r="AQ598">
        <v>0</v>
      </c>
      <c r="AR598">
        <v>1</v>
      </c>
      <c r="AS598" t="s">
        <v>59</v>
      </c>
      <c r="AT598">
        <v>1</v>
      </c>
      <c r="AU598" t="s">
        <v>76</v>
      </c>
      <c r="AV598" t="s">
        <v>65</v>
      </c>
      <c r="AW598">
        <v>0</v>
      </c>
      <c r="AX598">
        <v>3</v>
      </c>
      <c r="AY598">
        <v>0</v>
      </c>
      <c r="AZ598">
        <v>12600</v>
      </c>
      <c r="BA598">
        <v>100</v>
      </c>
      <c r="BB598">
        <v>100</v>
      </c>
      <c r="BC598">
        <v>100</v>
      </c>
      <c r="BD598">
        <v>100</v>
      </c>
      <c r="BE598">
        <v>1</v>
      </c>
      <c r="BF598">
        <v>15000</v>
      </c>
      <c r="BG598">
        <v>1000</v>
      </c>
      <c r="BH598" s="8">
        <f>Granger_Inventory[[#This Row],[land_extract]]*Lookups!$B$3</f>
        <v>46431.640060484584</v>
      </c>
      <c r="BI598" s="8">
        <f>IF(Granger_Inventory[[#This Row],[bldg_style]]="",0,Lookups!$B$2)</f>
        <v>29703.559000000001</v>
      </c>
      <c r="BJ598" s="8">
        <f>_xlfn.IFNA(VLOOKUP(Granger_Inventory[[#This Row],[quality]],Lookups!$H$2:$J$14,3,FALSE),0)</f>
        <v>34195</v>
      </c>
      <c r="BK598" s="8">
        <f>_xlfn.IFNA(VLOOKUP(Granger_Inventory[[#This Row],[condition]],Lookups!$H$17:$J$24,3,FALSE),0)</f>
        <v>33736</v>
      </c>
      <c r="BL598" s="8">
        <f>Granger_Inventory[[#This Row],[Age]]*Lookups!$B$16</f>
        <v>-12025.203799999999</v>
      </c>
      <c r="BM598" s="8">
        <f>Granger_Inventory[[#This Row],[living_area]]*Lookups!$B$17</f>
        <v>77094.753713999991</v>
      </c>
      <c r="BN598" s="8">
        <f>(Granger_Inventory[[#This Row],[att_gar]]+Granger_Inventory[[#This Row],[blt_gar]])*Lookups!$B$18</f>
        <v>0</v>
      </c>
      <c r="BO598" s="8">
        <f>Granger_Inventory[[#This Row],[Patio]]*Lookups!$B$19</f>
        <v>14665.075919999999</v>
      </c>
      <c r="BP598" s="8">
        <f>SUM(Granger_Inventory[[#This Row],[Intercept]:[Patio_Value]])*Granger_Inventory[[#This Row],[res_pct]]</f>
        <v>177369.18483399999</v>
      </c>
      <c r="BQ598" s="8">
        <f>Granger_Inventory[[#This Row],[land_value]]</f>
        <v>46431.640060484584</v>
      </c>
      <c r="BR598" s="4">
        <f>_xlfn.IFNA(VLOOKUP(Granger_Inventory[[#This Row],[quality]],Lookups!$A$25:$C$35,3,FALSE),1)</f>
        <v>0.98258795897788032</v>
      </c>
      <c r="BS598" s="4">
        <f>_xlfn.IFNA(VLOOKUP(Granger_Inventory[[#This Row],[condition]],Lookups!$A$38:$C$45,3,FALSE),1)</f>
        <v>0.92294678898076177</v>
      </c>
      <c r="BT598" s="4">
        <f>IF(Granger_Inventory[[#This Row],[decade]]="",1,_xlfn.IFNA(VLOOKUP(Granger_Inventory[[#This Row],[decade]],Lookups!$G$28:$I$42,3,FALSE),1))</f>
        <v>0.86581421791274704</v>
      </c>
      <c r="BU598" s="4">
        <f>_xlfn.IFNA(VLOOKUP(Granger_Inventory[[#This Row],[living_area_range]],Lookups!$A$48:$C$57,3,FALSE),1)</f>
        <v>0.97960506760539345</v>
      </c>
      <c r="BV598" s="4">
        <f>AVERAGE(Granger_Inventory[[#This Row],[qual_adj]:[living_range_adj]])</f>
        <v>0.93773850836919559</v>
      </c>
      <c r="BW598" s="8">
        <f>(Granger_Inventory[[#This Row],[sum_land]]-IF(Granger_Inventory[[#This Row],[no_utilities]]=1,12000,0))/IF(Granger_Inventory[[#This Row],[unbuildable]]=1,2,1)</f>
        <v>46431.640060484584</v>
      </c>
      <c r="BX598" s="8">
        <f>Granger_Inventory[[#This Row],[pre_res]]*Granger_Inventory[[#This Row],[overall_adj]]</f>
        <v>166325.9148168953</v>
      </c>
      <c r="BY598">
        <f>IF(ROUND(Granger_Inventory[[#This Row],[adj_land]]*Lookups!$I$45,-2)&lt;Granger_Inventory[[#This Row],[min_land]],Granger_Inventory[[#This Row],[min_land]],ROUND(Granger_Inventory[[#This Row],[adj_land]]*Lookups!$I$45,-2))</f>
        <v>44100</v>
      </c>
      <c r="BZ598">
        <f>ROUND(Granger_Inventory[[#This Row],[detatched_value]]*Lookups!$I$45,-2)</f>
        <v>12000</v>
      </c>
      <c r="CA598">
        <f>IF(ROUND(Granger_Inventory[[#This Row],[adj_res]]*Lookups!$I$45,-2)&lt;Granger_Inventory[[#This Row],[min_res]],Granger_Inventory[[#This Row],[min_res]],ROUND(Granger_Inventory[[#This Row],[adj_res]]*Lookups!$I$45,-2))</f>
        <v>158000</v>
      </c>
      <c r="CB598">
        <f>Granger_Inventory[[#This Row],[final_det]]+Granger_Inventory[[#This Row],[final_res]]</f>
        <v>170000</v>
      </c>
      <c r="CC598">
        <f>Granger_Inventory[[#This Row],[final_land]]+Granger_Inventory[[#This Row],[final_imp]]+Granger_Inventory[[#This Row],[crop_value]]</f>
        <v>214100</v>
      </c>
      <c r="CE598" t="str">
        <f t="shared" si="9"/>
        <v>update valuation set market_land =44100, market_bldg=170000, market_total =214100, market_mdno =402, market_date ='9/10/2023' where link_id = (select link_id from parcel where parcel_year = '2024' and parcel_id = '21102232434');</v>
      </c>
    </row>
    <row r="599" spans="1:83" x14ac:dyDescent="0.25">
      <c r="A599">
        <v>21102232436</v>
      </c>
      <c r="B599">
        <v>0.21</v>
      </c>
      <c r="C599">
        <v>9247</v>
      </c>
      <c r="D599" t="s">
        <v>137</v>
      </c>
      <c r="E599" t="s">
        <v>54</v>
      </c>
      <c r="F599" t="s">
        <v>54</v>
      </c>
      <c r="G599">
        <v>3</v>
      </c>
      <c r="H599" t="s">
        <v>55</v>
      </c>
      <c r="I599">
        <v>212600</v>
      </c>
      <c r="J599">
        <v>28300</v>
      </c>
      <c r="K599">
        <v>0.21</v>
      </c>
      <c r="L599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599">
        <v>0</v>
      </c>
      <c r="N599">
        <v>0</v>
      </c>
      <c r="O599">
        <v>0</v>
      </c>
      <c r="P599">
        <v>47108.068500000001</v>
      </c>
      <c r="Q599">
        <v>122298</v>
      </c>
      <c r="R599">
        <f>(Granger_Inventory[[#This Row],[ln_acres]]*Granger_Inventory[[#This Row],[coeff]])+Granger_Inventory[[#This Row],[const]]</f>
        <v>48778.898970377239</v>
      </c>
      <c r="S599" t="s">
        <v>59</v>
      </c>
      <c r="T599">
        <v>2</v>
      </c>
      <c r="U599" t="s">
        <v>57</v>
      </c>
      <c r="V599" t="s">
        <v>77</v>
      </c>
      <c r="W599">
        <v>0</v>
      </c>
      <c r="X599">
        <v>0</v>
      </c>
      <c r="Y599">
        <v>38</v>
      </c>
      <c r="Z599">
        <v>38</v>
      </c>
      <c r="AA599">
        <v>40</v>
      </c>
      <c r="AB599">
        <v>2000</v>
      </c>
      <c r="AC599">
        <v>1681</v>
      </c>
      <c r="AD599">
        <v>1281</v>
      </c>
      <c r="AE599">
        <v>400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280</v>
      </c>
      <c r="AM599">
        <v>1464</v>
      </c>
      <c r="AN599">
        <v>0</v>
      </c>
      <c r="AO599">
        <v>112</v>
      </c>
      <c r="AP599">
        <v>8</v>
      </c>
      <c r="AQ599">
        <v>0</v>
      </c>
      <c r="AR599">
        <v>0</v>
      </c>
      <c r="AS599" t="s">
        <v>75</v>
      </c>
      <c r="AT599">
        <v>1</v>
      </c>
      <c r="AU599" t="s">
        <v>63</v>
      </c>
      <c r="AV599" t="s">
        <v>65</v>
      </c>
      <c r="AW599">
        <v>1</v>
      </c>
      <c r="AX599">
        <v>3</v>
      </c>
      <c r="AY599">
        <v>0</v>
      </c>
      <c r="AZ599">
        <v>0</v>
      </c>
      <c r="BA599">
        <v>100</v>
      </c>
      <c r="BB599">
        <v>100</v>
      </c>
      <c r="BC599">
        <v>100</v>
      </c>
      <c r="BD599">
        <v>100</v>
      </c>
      <c r="BE599">
        <v>1</v>
      </c>
      <c r="BF599">
        <v>15000</v>
      </c>
      <c r="BG599">
        <v>1000</v>
      </c>
      <c r="BH599" s="8">
        <f>Granger_Inventory[[#This Row],[land_extract]]*Lookups!$B$3</f>
        <v>29059.09250674201</v>
      </c>
      <c r="BI599" s="8">
        <f>IF(Granger_Inventory[[#This Row],[bldg_style]]="",0,Lookups!$B$2)</f>
        <v>29703.559000000001</v>
      </c>
      <c r="BJ599" s="8">
        <f>_xlfn.IFNA(VLOOKUP(Granger_Inventory[[#This Row],[quality]],Lookups!$H$2:$J$14,3,FALSE),0)</f>
        <v>56414</v>
      </c>
      <c r="BK599" s="8">
        <f>_xlfn.IFNA(VLOOKUP(Granger_Inventory[[#This Row],[condition]],Lookups!$H$17:$J$24,3,FALSE),0)</f>
        <v>33736</v>
      </c>
      <c r="BL599" s="8">
        <f>Granger_Inventory[[#This Row],[Age]]*Lookups!$B$16</f>
        <v>-7878.5817999999999</v>
      </c>
      <c r="BM599" s="8">
        <f>Granger_Inventory[[#This Row],[living_area]]*Lookups!$B$17</f>
        <v>113085.760029</v>
      </c>
      <c r="BN599" s="8">
        <f>(Granger_Inventory[[#This Row],[att_gar]]+Granger_Inventory[[#This Row],[blt_gar]])*Lookups!$B$18</f>
        <v>0</v>
      </c>
      <c r="BO599" s="8">
        <f>Granger_Inventory[[#This Row],[Patio]]*Lookups!$B$19</f>
        <v>79517.300543999998</v>
      </c>
      <c r="BP599" s="8">
        <f>SUM(Granger_Inventory[[#This Row],[Intercept]:[Patio_Value]])*Granger_Inventory[[#This Row],[res_pct]]</f>
        <v>304578.03777300002</v>
      </c>
      <c r="BQ599" s="8">
        <f>Granger_Inventory[[#This Row],[land_value]]</f>
        <v>29059.09250674201</v>
      </c>
      <c r="BR599" s="4">
        <f>_xlfn.IFNA(VLOOKUP(Granger_Inventory[[#This Row],[quality]],Lookups!$A$25:$C$35,3,FALSE),1)</f>
        <v>0.98791809110152173</v>
      </c>
      <c r="BS599" s="4">
        <f>_xlfn.IFNA(VLOOKUP(Granger_Inventory[[#This Row],[condition]],Lookups!$A$38:$C$45,3,FALSE),1)</f>
        <v>0.92294678898076177</v>
      </c>
      <c r="BT599" s="4">
        <f>IF(Granger_Inventory[[#This Row],[decade]]="",1,_xlfn.IFNA(VLOOKUP(Granger_Inventory[[#This Row],[decade]],Lookups!$G$28:$I$42,3,FALSE),1))</f>
        <v>0.98127609555109363</v>
      </c>
      <c r="BU599" s="4">
        <f>_xlfn.IFNA(VLOOKUP(Granger_Inventory[[#This Row],[living_area_range]],Lookups!$A$48:$C$57,3,FALSE),1)</f>
        <v>0.97860968051050168</v>
      </c>
      <c r="BV599" s="4">
        <f>AVERAGE(Granger_Inventory[[#This Row],[qual_adj]:[living_range_adj]])</f>
        <v>0.96768766403596973</v>
      </c>
      <c r="BW599" s="8">
        <f>(Granger_Inventory[[#This Row],[sum_land]]-IF(Granger_Inventory[[#This Row],[no_utilities]]=1,12000,0))/IF(Granger_Inventory[[#This Row],[unbuildable]]=1,2,1)</f>
        <v>29059.09250674201</v>
      </c>
      <c r="BX599" s="8">
        <f>Granger_Inventory[[#This Row],[pre_res]]*Granger_Inventory[[#This Row],[overall_adj]]</f>
        <v>294736.40988921374</v>
      </c>
      <c r="BY599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599">
        <f>ROUND(Granger_Inventory[[#This Row],[detatched_value]]*Lookups!$I$45,-2)</f>
        <v>0</v>
      </c>
      <c r="CA599">
        <f>IF(ROUND(Granger_Inventory[[#This Row],[adj_res]]*Lookups!$I$45,-2)&lt;Granger_Inventory[[#This Row],[min_res]],Granger_Inventory[[#This Row],[min_res]],ROUND(Granger_Inventory[[#This Row],[adj_res]]*Lookups!$I$45,-2))</f>
        <v>280000</v>
      </c>
      <c r="CB599">
        <f>Granger_Inventory[[#This Row],[final_det]]+Granger_Inventory[[#This Row],[final_res]]</f>
        <v>280000</v>
      </c>
      <c r="CC599">
        <f>Granger_Inventory[[#This Row],[final_land]]+Granger_Inventory[[#This Row],[final_imp]]+Granger_Inventory[[#This Row],[crop_value]]</f>
        <v>307600</v>
      </c>
      <c r="CE599" t="str">
        <f t="shared" si="9"/>
        <v>update valuation set market_land =27600, market_bldg=280000, market_total =307600, market_mdno =402, market_date ='9/10/2023' where link_id = (select link_id from parcel where parcel_year = '2024' and parcel_id = '21102232436');</v>
      </c>
    </row>
    <row r="600" spans="1:83" x14ac:dyDescent="0.25">
      <c r="A600">
        <v>21102232437</v>
      </c>
      <c r="B600">
        <v>1.21</v>
      </c>
      <c r="C600" t="s">
        <v>137</v>
      </c>
      <c r="D600" t="s">
        <v>137</v>
      </c>
      <c r="E600" t="s">
        <v>54</v>
      </c>
      <c r="F600" t="s">
        <v>54</v>
      </c>
      <c r="G600">
        <v>3</v>
      </c>
      <c r="H600" t="s">
        <v>55</v>
      </c>
      <c r="I600">
        <v>379500</v>
      </c>
      <c r="J600">
        <v>38700</v>
      </c>
      <c r="K600">
        <v>1.21</v>
      </c>
      <c r="L600">
        <f>IF(Granger_Inventory[[#This Row],[parcel_acres]]-Granger_Inventory[[#This Row],[non_valued_acres]] =0,0,LN(Granger_Inventory[[#This Row],[parcel_acres]]-Granger_Inventory[[#This Row],[non_valued_acres]]))</f>
        <v>0.1906203596086497</v>
      </c>
      <c r="M600">
        <v>0</v>
      </c>
      <c r="N600">
        <v>0</v>
      </c>
      <c r="O600">
        <v>0</v>
      </c>
      <c r="P600">
        <v>47108.068500000001</v>
      </c>
      <c r="Q600">
        <v>122298</v>
      </c>
      <c r="R600">
        <f>(Granger_Inventory[[#This Row],[ln_acres]]*Granger_Inventory[[#This Row],[coeff]])+Granger_Inventory[[#This Row],[const]]</f>
        <v>131277.75695793889</v>
      </c>
      <c r="S600" t="s">
        <v>108</v>
      </c>
      <c r="T600">
        <v>1</v>
      </c>
      <c r="U600" t="s">
        <v>57</v>
      </c>
      <c r="V600" t="s">
        <v>77</v>
      </c>
      <c r="W600">
        <v>0</v>
      </c>
      <c r="X600">
        <v>0</v>
      </c>
      <c r="Y600">
        <v>49</v>
      </c>
      <c r="Z600">
        <v>65</v>
      </c>
      <c r="AA600">
        <v>70</v>
      </c>
      <c r="AB600">
        <v>3500</v>
      </c>
      <c r="AC600">
        <v>3180</v>
      </c>
      <c r="AD600">
        <v>2340</v>
      </c>
      <c r="AE600">
        <v>0</v>
      </c>
      <c r="AF600">
        <v>0</v>
      </c>
      <c r="AG600">
        <v>840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176</v>
      </c>
      <c r="AN600">
        <v>456</v>
      </c>
      <c r="AO600">
        <v>176</v>
      </c>
      <c r="AP600">
        <v>10</v>
      </c>
      <c r="AQ600">
        <v>0</v>
      </c>
      <c r="AR600">
        <v>1</v>
      </c>
      <c r="AS600" t="s">
        <v>81</v>
      </c>
      <c r="AT600">
        <v>1</v>
      </c>
      <c r="AU600" t="s">
        <v>63</v>
      </c>
      <c r="AV600" t="s">
        <v>65</v>
      </c>
      <c r="AW600">
        <v>1</v>
      </c>
      <c r="AX600">
        <v>4</v>
      </c>
      <c r="AY600">
        <v>0</v>
      </c>
      <c r="AZ600">
        <v>56700</v>
      </c>
      <c r="BA600">
        <v>100</v>
      </c>
      <c r="BB600">
        <v>100</v>
      </c>
      <c r="BC600">
        <v>100</v>
      </c>
      <c r="BD600">
        <v>100</v>
      </c>
      <c r="BE600">
        <v>1</v>
      </c>
      <c r="BF600">
        <v>15000</v>
      </c>
      <c r="BG600">
        <v>1000</v>
      </c>
      <c r="BH600" s="8">
        <f>Granger_Inventory[[#This Row],[land_extract]]*Lookups!$B$3</f>
        <v>78206.203174758499</v>
      </c>
      <c r="BI600" s="8">
        <f>IF(Granger_Inventory[[#This Row],[bldg_style]]="",0,Lookups!$B$2)</f>
        <v>29703.559000000001</v>
      </c>
      <c r="BJ600" s="8">
        <f>_xlfn.IFNA(VLOOKUP(Granger_Inventory[[#This Row],[quality]],Lookups!$H$2:$J$14,3,FALSE),0)</f>
        <v>56414</v>
      </c>
      <c r="BK600" s="8">
        <f>_xlfn.IFNA(VLOOKUP(Granger_Inventory[[#This Row],[condition]],Lookups!$H$17:$J$24,3,FALSE),0)</f>
        <v>33736</v>
      </c>
      <c r="BL600" s="8">
        <f>Granger_Inventory[[#This Row],[Age]]*Lookups!$B$16</f>
        <v>-13476.521499999999</v>
      </c>
      <c r="BM600" s="8">
        <f>Granger_Inventory[[#This Row],[living_area]]*Lookups!$B$17</f>
        <v>213927.85061999998</v>
      </c>
      <c r="BN600" s="8">
        <f>(Granger_Inventory[[#This Row],[att_gar]]+Granger_Inventory[[#This Row],[blt_gar]])*Lookups!$B$18</f>
        <v>0</v>
      </c>
      <c r="BO600" s="8">
        <f>Granger_Inventory[[#This Row],[Patio]]*Lookups!$B$19</f>
        <v>9559.4568959999997</v>
      </c>
      <c r="BP600" s="8">
        <f>SUM(Granger_Inventory[[#This Row],[Intercept]:[Patio_Value]])*Granger_Inventory[[#This Row],[res_pct]]</f>
        <v>329864.34501600004</v>
      </c>
      <c r="BQ600" s="8">
        <f>Granger_Inventory[[#This Row],[land_value]]</f>
        <v>78206.203174758499</v>
      </c>
      <c r="BR600" s="4">
        <f>_xlfn.IFNA(VLOOKUP(Granger_Inventory[[#This Row],[quality]],Lookups!$A$25:$C$35,3,FALSE),1)</f>
        <v>0.98791809110152173</v>
      </c>
      <c r="BS600" s="4">
        <f>_xlfn.IFNA(VLOOKUP(Granger_Inventory[[#This Row],[condition]],Lookups!$A$38:$C$45,3,FALSE),1)</f>
        <v>0.92294678898076177</v>
      </c>
      <c r="BT600" s="4">
        <f>IF(Granger_Inventory[[#This Row],[decade]]="",1,_xlfn.IFNA(VLOOKUP(Granger_Inventory[[#This Row],[decade]],Lookups!$G$28:$I$42,3,FALSE),1))</f>
        <v>1.0270382440255921</v>
      </c>
      <c r="BU600" s="4">
        <f>_xlfn.IFNA(VLOOKUP(Granger_Inventory[[#This Row],[living_area_range]],Lookups!$A$48:$C$57,3,FALSE),1)</f>
        <v>0.99995754169072248</v>
      </c>
      <c r="BV600" s="4">
        <f>AVERAGE(Granger_Inventory[[#This Row],[qual_adj]:[living_range_adj]])</f>
        <v>0.98446516644964954</v>
      </c>
      <c r="BW600" s="8">
        <f>(Granger_Inventory[[#This Row],[sum_land]]-IF(Granger_Inventory[[#This Row],[no_utilities]]=1,12000,0))/IF(Granger_Inventory[[#This Row],[unbuildable]]=1,2,1)</f>
        <v>78206.203174758499</v>
      </c>
      <c r="BX600" s="8">
        <f>Granger_Inventory[[#This Row],[pre_res]]*Granger_Inventory[[#This Row],[overall_adj]]</f>
        <v>324739.95732198108</v>
      </c>
      <c r="BY600">
        <f>IF(ROUND(Granger_Inventory[[#This Row],[adj_land]]*Lookups!$I$45,-2)&lt;Granger_Inventory[[#This Row],[min_land]],Granger_Inventory[[#This Row],[min_land]],ROUND(Granger_Inventory[[#This Row],[adj_land]]*Lookups!$I$45,-2))</f>
        <v>74300</v>
      </c>
      <c r="BZ600">
        <f>ROUND(Granger_Inventory[[#This Row],[detatched_value]]*Lookups!$I$45,-2)</f>
        <v>53900</v>
      </c>
      <c r="CA600">
        <f>IF(ROUND(Granger_Inventory[[#This Row],[adj_res]]*Lookups!$I$45,-2)&lt;Granger_Inventory[[#This Row],[min_res]],Granger_Inventory[[#This Row],[min_res]],ROUND(Granger_Inventory[[#This Row],[adj_res]]*Lookups!$I$45,-2))</f>
        <v>308500</v>
      </c>
      <c r="CB600">
        <f>Granger_Inventory[[#This Row],[final_det]]+Granger_Inventory[[#This Row],[final_res]]</f>
        <v>362400</v>
      </c>
      <c r="CC600">
        <f>Granger_Inventory[[#This Row],[final_land]]+Granger_Inventory[[#This Row],[final_imp]]+Granger_Inventory[[#This Row],[crop_value]]</f>
        <v>436700</v>
      </c>
      <c r="CE600" t="str">
        <f t="shared" si="9"/>
        <v>update valuation set market_land =74300, market_bldg=362400, market_total =436700, market_mdno =402, market_date ='9/10/2023' where link_id = (select link_id from parcel where parcel_year = '2024' and parcel_id = '21102232437');</v>
      </c>
    </row>
    <row r="601" spans="1:83" x14ac:dyDescent="0.25">
      <c r="A601">
        <v>21102232438</v>
      </c>
      <c r="B601">
        <v>0.28999999999999998</v>
      </c>
      <c r="C601">
        <v>12577</v>
      </c>
      <c r="D601" t="s">
        <v>137</v>
      </c>
      <c r="E601" t="s">
        <v>54</v>
      </c>
      <c r="F601" t="s">
        <v>54</v>
      </c>
      <c r="G601">
        <v>3</v>
      </c>
      <c r="H601" t="s">
        <v>55</v>
      </c>
      <c r="I601">
        <v>275100</v>
      </c>
      <c r="J601">
        <v>30200</v>
      </c>
      <c r="K601">
        <v>0.28999999999999998</v>
      </c>
      <c r="L601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601">
        <v>0</v>
      </c>
      <c r="N601">
        <v>0</v>
      </c>
      <c r="O601">
        <v>0</v>
      </c>
      <c r="P601">
        <v>47108.068500000001</v>
      </c>
      <c r="Q601">
        <v>122298</v>
      </c>
      <c r="R601">
        <f>(Granger_Inventory[[#This Row],[ln_acres]]*Granger_Inventory[[#This Row],[coeff]])+Granger_Inventory[[#This Row],[const]]</f>
        <v>63984.130043082419</v>
      </c>
      <c r="S601" t="s">
        <v>59</v>
      </c>
      <c r="T601">
        <v>1</v>
      </c>
      <c r="U601" t="s">
        <v>64</v>
      </c>
      <c r="V601" t="s">
        <v>72</v>
      </c>
      <c r="W601">
        <v>0</v>
      </c>
      <c r="X601">
        <v>0</v>
      </c>
      <c r="Y601">
        <v>23</v>
      </c>
      <c r="Z601">
        <v>23</v>
      </c>
      <c r="AA601">
        <v>30</v>
      </c>
      <c r="AB601">
        <v>2000</v>
      </c>
      <c r="AC601">
        <v>1502</v>
      </c>
      <c r="AD601">
        <v>1502</v>
      </c>
      <c r="AE601">
        <v>0</v>
      </c>
      <c r="AF601">
        <v>0</v>
      </c>
      <c r="AG601">
        <v>0</v>
      </c>
      <c r="AH601">
        <v>0</v>
      </c>
      <c r="AI601">
        <v>600</v>
      </c>
      <c r="AJ601">
        <v>0</v>
      </c>
      <c r="AK601">
        <v>0</v>
      </c>
      <c r="AL601">
        <v>0</v>
      </c>
      <c r="AM601">
        <v>252</v>
      </c>
      <c r="AN601">
        <v>84</v>
      </c>
      <c r="AO601">
        <v>0</v>
      </c>
      <c r="AP601">
        <v>8</v>
      </c>
      <c r="AQ601">
        <v>0</v>
      </c>
      <c r="AR601">
        <v>0</v>
      </c>
      <c r="AS601" t="s">
        <v>59</v>
      </c>
      <c r="AT601">
        <v>1</v>
      </c>
      <c r="AU601" t="s">
        <v>60</v>
      </c>
      <c r="AV601" t="s">
        <v>65</v>
      </c>
      <c r="AW601">
        <v>0</v>
      </c>
      <c r="AX601">
        <v>3</v>
      </c>
      <c r="AY601">
        <v>0</v>
      </c>
      <c r="AZ601">
        <v>0</v>
      </c>
      <c r="BA601">
        <v>100</v>
      </c>
      <c r="BB601">
        <v>100</v>
      </c>
      <c r="BC601">
        <v>100</v>
      </c>
      <c r="BD601">
        <v>100</v>
      </c>
      <c r="BE601">
        <v>1</v>
      </c>
      <c r="BF601">
        <v>15000</v>
      </c>
      <c r="BG601">
        <v>1000</v>
      </c>
      <c r="BH601" s="8">
        <f>Granger_Inventory[[#This Row],[land_extract]]*Lookups!$B$3</f>
        <v>38117.316977869523</v>
      </c>
      <c r="BI601" s="8">
        <f>IF(Granger_Inventory[[#This Row],[bldg_style]]="",0,Lookups!$B$2)</f>
        <v>29703.559000000001</v>
      </c>
      <c r="BJ601" s="8">
        <f>_xlfn.IFNA(VLOOKUP(Granger_Inventory[[#This Row],[quality]],Lookups!$H$2:$J$14,3,FALSE),0)</f>
        <v>36568</v>
      </c>
      <c r="BK601" s="8">
        <f>_xlfn.IFNA(VLOOKUP(Granger_Inventory[[#This Row],[condition]],Lookups!$H$17:$J$24,3,FALSE),0)</f>
        <v>94106</v>
      </c>
      <c r="BL601" s="8">
        <f>Granger_Inventory[[#This Row],[Age]]*Lookups!$B$16</f>
        <v>-4768.6152999999995</v>
      </c>
      <c r="BM601" s="8">
        <f>Granger_Inventory[[#This Row],[living_area]]*Lookups!$B$17</f>
        <v>101043.90931799999</v>
      </c>
      <c r="BN601" s="8">
        <f>(Granger_Inventory[[#This Row],[att_gar]]+Granger_Inventory[[#This Row],[blt_gar]])*Lookups!$B$18</f>
        <v>29068.551599999999</v>
      </c>
      <c r="BO601" s="8">
        <f>Granger_Inventory[[#This Row],[Patio]]*Lookups!$B$19</f>
        <v>13687.404192</v>
      </c>
      <c r="BP601" s="8">
        <f>SUM(Granger_Inventory[[#This Row],[Intercept]:[Patio_Value]])*Granger_Inventory[[#This Row],[res_pct]]</f>
        <v>299408.80880999996</v>
      </c>
      <c r="BQ601" s="8">
        <f>Granger_Inventory[[#This Row],[land_value]]</f>
        <v>38117.316977869523</v>
      </c>
      <c r="BR601" s="4">
        <f>_xlfn.IFNA(VLOOKUP(Granger_Inventory[[#This Row],[quality]],Lookups!$A$25:$C$35,3,FALSE),1)</f>
        <v>0.99049976351917957</v>
      </c>
      <c r="BS601" s="4">
        <f>_xlfn.IFNA(VLOOKUP(Granger_Inventory[[#This Row],[condition]],Lookups!$A$38:$C$45,3,FALSE),1)</f>
        <v>0.98658583151544277</v>
      </c>
      <c r="BT601" s="4">
        <f>IF(Granger_Inventory[[#This Row],[decade]]="",1,_xlfn.IFNA(VLOOKUP(Granger_Inventory[[#This Row],[decade]],Lookups!$G$28:$I$42,3,FALSE),1))</f>
        <v>1.0539470644652671</v>
      </c>
      <c r="BU601" s="4">
        <f>_xlfn.IFNA(VLOOKUP(Granger_Inventory[[#This Row],[living_area_range]],Lookups!$A$48:$C$57,3,FALSE),1)</f>
        <v>0.97860968051050168</v>
      </c>
      <c r="BV601" s="4">
        <f>AVERAGE(Granger_Inventory[[#This Row],[qual_adj]:[living_range_adj]])</f>
        <v>1.0024105850025977</v>
      </c>
      <c r="BW601" s="8">
        <f>(Granger_Inventory[[#This Row],[sum_land]]-IF(Granger_Inventory[[#This Row],[no_utilities]]=1,12000,0))/IF(Granger_Inventory[[#This Row],[unbuildable]]=1,2,1)</f>
        <v>38117.316977869523</v>
      </c>
      <c r="BX601" s="8">
        <f>Granger_Inventory[[#This Row],[pre_res]]*Granger_Inventory[[#This Row],[overall_adj]]</f>
        <v>300130.55919416301</v>
      </c>
      <c r="BY601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601">
        <f>ROUND(Granger_Inventory[[#This Row],[detatched_value]]*Lookups!$I$45,-2)</f>
        <v>0</v>
      </c>
      <c r="CA601">
        <f>IF(ROUND(Granger_Inventory[[#This Row],[adj_res]]*Lookups!$I$45,-2)&lt;Granger_Inventory[[#This Row],[min_res]],Granger_Inventory[[#This Row],[min_res]],ROUND(Granger_Inventory[[#This Row],[adj_res]]*Lookups!$I$45,-2))</f>
        <v>285100</v>
      </c>
      <c r="CB601">
        <f>Granger_Inventory[[#This Row],[final_det]]+Granger_Inventory[[#This Row],[final_res]]</f>
        <v>285100</v>
      </c>
      <c r="CC601">
        <f>Granger_Inventory[[#This Row],[final_land]]+Granger_Inventory[[#This Row],[final_imp]]+Granger_Inventory[[#This Row],[crop_value]]</f>
        <v>321300</v>
      </c>
      <c r="CE601" t="str">
        <f t="shared" si="9"/>
        <v>update valuation set market_land =36200, market_bldg=285100, market_total =321300, market_mdno =402, market_date ='9/10/2023' where link_id = (select link_id from parcel where parcel_year = '2024' and parcel_id = '21102232438');</v>
      </c>
    </row>
    <row r="602" spans="1:83" x14ac:dyDescent="0.25">
      <c r="A602">
        <v>21102232440</v>
      </c>
      <c r="B602">
        <v>0.27</v>
      </c>
      <c r="C602">
        <v>11953</v>
      </c>
      <c r="D602" t="s">
        <v>137</v>
      </c>
      <c r="E602" t="s">
        <v>54</v>
      </c>
      <c r="F602" t="s">
        <v>54</v>
      </c>
      <c r="G602">
        <v>3</v>
      </c>
      <c r="H602" t="s">
        <v>55</v>
      </c>
      <c r="I602">
        <v>60400</v>
      </c>
      <c r="J602">
        <v>29800</v>
      </c>
      <c r="K602">
        <v>0.27</v>
      </c>
      <c r="L602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602">
        <v>0</v>
      </c>
      <c r="N602">
        <v>0</v>
      </c>
      <c r="O602">
        <v>0</v>
      </c>
      <c r="P602">
        <v>47108.068500000001</v>
      </c>
      <c r="Q602">
        <v>122298</v>
      </c>
      <c r="R602">
        <f>(Granger_Inventory[[#This Row],[ln_acres]]*Granger_Inventory[[#This Row],[coeff]])+Granger_Inventory[[#This Row],[const]]</f>
        <v>60617.836272872511</v>
      </c>
      <c r="S602" t="s">
        <v>56</v>
      </c>
      <c r="T602">
        <v>1</v>
      </c>
      <c r="U602" t="s">
        <v>78</v>
      </c>
      <c r="V602" t="s">
        <v>79</v>
      </c>
      <c r="W602">
        <v>0</v>
      </c>
      <c r="X602">
        <v>0</v>
      </c>
      <c r="Y602">
        <v>47</v>
      </c>
      <c r="Z602">
        <v>58</v>
      </c>
      <c r="AA602">
        <v>60</v>
      </c>
      <c r="AB602">
        <v>1000</v>
      </c>
      <c r="AC602">
        <v>922</v>
      </c>
      <c r="AD602">
        <v>922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40</v>
      </c>
      <c r="AO602">
        <v>0</v>
      </c>
      <c r="AP602">
        <v>5</v>
      </c>
      <c r="AQ602">
        <v>0</v>
      </c>
      <c r="AR602">
        <v>0</v>
      </c>
      <c r="AS602" t="s">
        <v>59</v>
      </c>
      <c r="AT602">
        <v>1</v>
      </c>
      <c r="AU602" t="s">
        <v>68</v>
      </c>
      <c r="AV602" t="s">
        <v>65</v>
      </c>
      <c r="AW602">
        <v>0</v>
      </c>
      <c r="AX602">
        <v>3</v>
      </c>
      <c r="AY602">
        <v>0</v>
      </c>
      <c r="AZ602">
        <v>0</v>
      </c>
      <c r="BA602">
        <v>100</v>
      </c>
      <c r="BB602">
        <v>100</v>
      </c>
      <c r="BC602">
        <v>100</v>
      </c>
      <c r="BD602">
        <v>100</v>
      </c>
      <c r="BE602">
        <v>1</v>
      </c>
      <c r="BF602">
        <v>15000</v>
      </c>
      <c r="BG602">
        <v>1000</v>
      </c>
      <c r="BH602" s="8">
        <f>Granger_Inventory[[#This Row],[land_extract]]*Lookups!$B$3</f>
        <v>36111.912097107357</v>
      </c>
      <c r="BI602" s="8">
        <f>IF(Granger_Inventory[[#This Row],[bldg_style]]="",0,Lookups!$B$2)</f>
        <v>29703.559000000001</v>
      </c>
      <c r="BJ602" s="8">
        <f>_xlfn.IFNA(VLOOKUP(Granger_Inventory[[#This Row],[quality]],Lookups!$H$2:$J$14,3,FALSE),0)</f>
        <v>23737.786340274597</v>
      </c>
      <c r="BK602" s="8">
        <f>_xlfn.IFNA(VLOOKUP(Granger_Inventory[[#This Row],[condition]],Lookups!$H$17:$J$24,3,FALSE),0)</f>
        <v>86727</v>
      </c>
      <c r="BL602" s="8">
        <f>Granger_Inventory[[#This Row],[Age]]*Lookups!$B$16</f>
        <v>-12025.203799999999</v>
      </c>
      <c r="BM602" s="8">
        <f>Granger_Inventory[[#This Row],[living_area]]*Lookups!$B$17</f>
        <v>62025.622098</v>
      </c>
      <c r="BN602" s="8">
        <f>(Granger_Inventory[[#This Row],[att_gar]]+Granger_Inventory[[#This Row],[blt_gar]])*Lookups!$B$18</f>
        <v>0</v>
      </c>
      <c r="BO602" s="8">
        <f>Granger_Inventory[[#This Row],[Patio]]*Lookups!$B$19</f>
        <v>0</v>
      </c>
      <c r="BP602" s="8">
        <f>SUM(Granger_Inventory[[#This Row],[Intercept]:[Patio_Value]])*Granger_Inventory[[#This Row],[res_pct]]</f>
        <v>190168.7636382746</v>
      </c>
      <c r="BQ602" s="8">
        <f>Granger_Inventory[[#This Row],[land_value]]</f>
        <v>36111.912097107357</v>
      </c>
      <c r="BR602" s="4">
        <f>_xlfn.IFNA(VLOOKUP(Granger_Inventory[[#This Row],[quality]],Lookups!$A$25:$C$35,3,FALSE),1)</f>
        <v>0.77695375541795109</v>
      </c>
      <c r="BS602" s="4">
        <f>_xlfn.IFNA(VLOOKUP(Granger_Inventory[[#This Row],[condition]],Lookups!$A$38:$C$45,3,FALSE),1)</f>
        <v>0.85322907131620684</v>
      </c>
      <c r="BT602" s="4">
        <f>IF(Granger_Inventory[[#This Row],[decade]]="",1,_xlfn.IFNA(VLOOKUP(Granger_Inventory[[#This Row],[decade]],Lookups!$G$28:$I$42,3,FALSE),1))</f>
        <v>0.86581421791274704</v>
      </c>
      <c r="BU602" s="4">
        <f>_xlfn.IFNA(VLOOKUP(Granger_Inventory[[#This Row],[living_area_range]],Lookups!$A$48:$C$57,3,FALSE),1)</f>
        <v>0.81272404900450645</v>
      </c>
      <c r="BV602" s="4">
        <f>AVERAGE(Granger_Inventory[[#This Row],[qual_adj]:[living_range_adj]])</f>
        <v>0.82718027341285283</v>
      </c>
      <c r="BW602" s="8">
        <f>(Granger_Inventory[[#This Row],[sum_land]]-IF(Granger_Inventory[[#This Row],[no_utilities]]=1,12000,0))/IF(Granger_Inventory[[#This Row],[unbuildable]]=1,2,1)</f>
        <v>36111.912097107357</v>
      </c>
      <c r="BX602" s="8">
        <f>Granger_Inventory[[#This Row],[pre_res]]*Granger_Inventory[[#This Row],[overall_adj]]</f>
        <v>157303.84990089218</v>
      </c>
      <c r="BY602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602">
        <f>ROUND(Granger_Inventory[[#This Row],[detatched_value]]*Lookups!$I$45,-2)</f>
        <v>0</v>
      </c>
      <c r="CA602">
        <f>IF(ROUND(Granger_Inventory[[#This Row],[adj_res]]*Lookups!$I$45,-2)&lt;Granger_Inventory[[#This Row],[min_res]],Granger_Inventory[[#This Row],[min_res]],ROUND(Granger_Inventory[[#This Row],[adj_res]]*Lookups!$I$45,-2))</f>
        <v>149400</v>
      </c>
      <c r="CB602">
        <f>Granger_Inventory[[#This Row],[final_det]]+Granger_Inventory[[#This Row],[final_res]]</f>
        <v>149400</v>
      </c>
      <c r="CC602">
        <f>Granger_Inventory[[#This Row],[final_land]]+Granger_Inventory[[#This Row],[final_imp]]+Granger_Inventory[[#This Row],[crop_value]]</f>
        <v>183700</v>
      </c>
      <c r="CE602" t="str">
        <f t="shared" si="9"/>
        <v>update valuation set market_land =34300, market_bldg=149400, market_total =183700, market_mdno =402, market_date ='9/10/2023' where link_id = (select link_id from parcel where parcel_year = '2024' and parcel_id = '21102232440');</v>
      </c>
    </row>
    <row r="603" spans="1:83" x14ac:dyDescent="0.25">
      <c r="A603">
        <v>21102232445</v>
      </c>
      <c r="B603">
        <v>0.8</v>
      </c>
      <c r="C603">
        <v>34652</v>
      </c>
      <c r="D603" t="s">
        <v>137</v>
      </c>
      <c r="E603" t="s">
        <v>54</v>
      </c>
      <c r="F603" t="s">
        <v>54</v>
      </c>
      <c r="G603">
        <v>3</v>
      </c>
      <c r="H603" t="s">
        <v>55</v>
      </c>
      <c r="I603">
        <v>170900</v>
      </c>
      <c r="J603">
        <v>36300</v>
      </c>
      <c r="K603">
        <v>0.8</v>
      </c>
      <c r="L603">
        <f>IF(Granger_Inventory[[#This Row],[parcel_acres]]-Granger_Inventory[[#This Row],[non_valued_acres]] =0,0,LN(Granger_Inventory[[#This Row],[parcel_acres]]-Granger_Inventory[[#This Row],[non_valued_acres]]))</f>
        <v>-0.22314355131420971</v>
      </c>
      <c r="M603">
        <v>0</v>
      </c>
      <c r="N603">
        <v>0</v>
      </c>
      <c r="O603">
        <v>0</v>
      </c>
      <c r="P603">
        <v>47108.068500000001</v>
      </c>
      <c r="Q603">
        <v>122298</v>
      </c>
      <c r="R603">
        <f>(Granger_Inventory[[#This Row],[ln_acres]]*Granger_Inventory[[#This Row],[coeff]])+Granger_Inventory[[#This Row],[const]]</f>
        <v>111786.13829935694</v>
      </c>
      <c r="S603" t="s">
        <v>56</v>
      </c>
      <c r="T603">
        <v>1</v>
      </c>
      <c r="U603" t="s">
        <v>71</v>
      </c>
      <c r="V603" t="s">
        <v>77</v>
      </c>
      <c r="W603">
        <v>0</v>
      </c>
      <c r="X603">
        <v>0</v>
      </c>
      <c r="Y603">
        <v>50</v>
      </c>
      <c r="Z603">
        <v>73</v>
      </c>
      <c r="AA603">
        <v>80</v>
      </c>
      <c r="AB603">
        <v>2000</v>
      </c>
      <c r="AC603">
        <v>1578</v>
      </c>
      <c r="AD603">
        <v>1188</v>
      </c>
      <c r="AE603">
        <v>0</v>
      </c>
      <c r="AF603">
        <v>0</v>
      </c>
      <c r="AG603">
        <v>390</v>
      </c>
      <c r="AH603">
        <v>366</v>
      </c>
      <c r="AI603">
        <v>0</v>
      </c>
      <c r="AJ603">
        <v>432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6</v>
      </c>
      <c r="AQ603">
        <v>0</v>
      </c>
      <c r="AR603">
        <v>0</v>
      </c>
      <c r="AS603" t="s">
        <v>75</v>
      </c>
      <c r="AT603">
        <v>1</v>
      </c>
      <c r="AU603" t="s">
        <v>63</v>
      </c>
      <c r="AV603" t="s">
        <v>65</v>
      </c>
      <c r="AW603">
        <v>1</v>
      </c>
      <c r="AX603">
        <v>3</v>
      </c>
      <c r="AY603">
        <v>0</v>
      </c>
      <c r="AZ603">
        <v>1800</v>
      </c>
      <c r="BA603">
        <v>100</v>
      </c>
      <c r="BB603">
        <v>100</v>
      </c>
      <c r="BC603">
        <v>100</v>
      </c>
      <c r="BD603">
        <v>100</v>
      </c>
      <c r="BE603">
        <v>1</v>
      </c>
      <c r="BF603">
        <v>15000</v>
      </c>
      <c r="BG603">
        <v>1000</v>
      </c>
      <c r="BH603" s="8">
        <f>Granger_Inventory[[#This Row],[land_extract]]*Lookups!$B$3</f>
        <v>66594.445597986545</v>
      </c>
      <c r="BI603" s="8">
        <f>IF(Granger_Inventory[[#This Row],[bldg_style]]="",0,Lookups!$B$2)</f>
        <v>29703.559000000001</v>
      </c>
      <c r="BJ603" s="8">
        <f>_xlfn.IFNA(VLOOKUP(Granger_Inventory[[#This Row],[quality]],Lookups!$H$2:$J$14,3,FALSE),0)</f>
        <v>34195</v>
      </c>
      <c r="BK603" s="8">
        <f>_xlfn.IFNA(VLOOKUP(Granger_Inventory[[#This Row],[condition]],Lookups!$H$17:$J$24,3,FALSE),0)</f>
        <v>33736</v>
      </c>
      <c r="BL603" s="8">
        <f>Granger_Inventory[[#This Row],[Age]]*Lookups!$B$16</f>
        <v>-15135.1703</v>
      </c>
      <c r="BM603" s="8">
        <f>Granger_Inventory[[#This Row],[living_area]]*Lookups!$B$17</f>
        <v>106156.650402</v>
      </c>
      <c r="BN603" s="8">
        <f>(Granger_Inventory[[#This Row],[att_gar]]+Granger_Inventory[[#This Row],[blt_gar]])*Lookups!$B$18</f>
        <v>20929.357152</v>
      </c>
      <c r="BO603" s="8">
        <f>Granger_Inventory[[#This Row],[Patio]]*Lookups!$B$19</f>
        <v>0</v>
      </c>
      <c r="BP603" s="8">
        <f>SUM(Granger_Inventory[[#This Row],[Intercept]:[Patio_Value]])*Granger_Inventory[[#This Row],[res_pct]]</f>
        <v>209585.39625400002</v>
      </c>
      <c r="BQ603" s="8">
        <f>Granger_Inventory[[#This Row],[land_value]]</f>
        <v>66594.445597986545</v>
      </c>
      <c r="BR603" s="4">
        <f>_xlfn.IFNA(VLOOKUP(Granger_Inventory[[#This Row],[quality]],Lookups!$A$25:$C$35,3,FALSE),1)</f>
        <v>0.98258795897788032</v>
      </c>
      <c r="BS603" s="4">
        <f>_xlfn.IFNA(VLOOKUP(Granger_Inventory[[#This Row],[condition]],Lookups!$A$38:$C$45,3,FALSE),1)</f>
        <v>0.92294678898076177</v>
      </c>
      <c r="BT603" s="4">
        <f>IF(Granger_Inventory[[#This Row],[decade]]="",1,_xlfn.IFNA(VLOOKUP(Granger_Inventory[[#This Row],[decade]],Lookups!$G$28:$I$42,3,FALSE),1))</f>
        <v>0.76006056002554967</v>
      </c>
      <c r="BU603" s="4">
        <f>_xlfn.IFNA(VLOOKUP(Granger_Inventory[[#This Row],[living_area_range]],Lookups!$A$48:$C$57,3,FALSE),1)</f>
        <v>0.97860968051050168</v>
      </c>
      <c r="BV603" s="4">
        <f>AVERAGE(Granger_Inventory[[#This Row],[qual_adj]:[living_range_adj]])</f>
        <v>0.91105124712367336</v>
      </c>
      <c r="BW603" s="8">
        <f>(Granger_Inventory[[#This Row],[sum_land]]-IF(Granger_Inventory[[#This Row],[no_utilities]]=1,12000,0))/IF(Granger_Inventory[[#This Row],[unbuildable]]=1,2,1)</f>
        <v>66594.445597986545</v>
      </c>
      <c r="BX603" s="8">
        <f>Granger_Inventory[[#This Row],[pre_res]]*Granger_Inventory[[#This Row],[overall_adj]]</f>
        <v>190943.03663611598</v>
      </c>
      <c r="BY603">
        <f>IF(ROUND(Granger_Inventory[[#This Row],[adj_land]]*Lookups!$I$45,-2)&lt;Granger_Inventory[[#This Row],[min_land]],Granger_Inventory[[#This Row],[min_land]],ROUND(Granger_Inventory[[#This Row],[adj_land]]*Lookups!$I$45,-2))</f>
        <v>63300</v>
      </c>
      <c r="BZ603">
        <f>ROUND(Granger_Inventory[[#This Row],[detatched_value]]*Lookups!$I$45,-2)</f>
        <v>1700</v>
      </c>
      <c r="CA603">
        <f>IF(ROUND(Granger_Inventory[[#This Row],[adj_res]]*Lookups!$I$45,-2)&lt;Granger_Inventory[[#This Row],[min_res]],Granger_Inventory[[#This Row],[min_res]],ROUND(Granger_Inventory[[#This Row],[adj_res]]*Lookups!$I$45,-2))</f>
        <v>181400</v>
      </c>
      <c r="CB603">
        <f>Granger_Inventory[[#This Row],[final_det]]+Granger_Inventory[[#This Row],[final_res]]</f>
        <v>183100</v>
      </c>
      <c r="CC603">
        <f>Granger_Inventory[[#This Row],[final_land]]+Granger_Inventory[[#This Row],[final_imp]]+Granger_Inventory[[#This Row],[crop_value]]</f>
        <v>246400</v>
      </c>
      <c r="CE603" t="str">
        <f t="shared" si="9"/>
        <v>update valuation set market_land =63300, market_bldg=183100, market_total =246400, market_mdno =402, market_date ='9/10/2023' where link_id = (select link_id from parcel where parcel_year = '2024' and parcel_id = '21102232445');</v>
      </c>
    </row>
    <row r="604" spans="1:83" x14ac:dyDescent="0.25">
      <c r="A604">
        <v>21102232446</v>
      </c>
      <c r="B604">
        <v>0.73</v>
      </c>
      <c r="C604">
        <v>31794</v>
      </c>
      <c r="D604" t="s">
        <v>137</v>
      </c>
      <c r="E604" t="s">
        <v>54</v>
      </c>
      <c r="F604" t="s">
        <v>54</v>
      </c>
      <c r="G604">
        <v>3</v>
      </c>
      <c r="H604" t="s">
        <v>55</v>
      </c>
      <c r="I604">
        <v>188300</v>
      </c>
      <c r="J604">
        <v>35700</v>
      </c>
      <c r="K604">
        <v>0.73</v>
      </c>
      <c r="L604">
        <f>IF(Granger_Inventory[[#This Row],[parcel_acres]]-Granger_Inventory[[#This Row],[non_valued_acres]] =0,0,LN(Granger_Inventory[[#This Row],[parcel_acres]]-Granger_Inventory[[#This Row],[non_valued_acres]]))</f>
        <v>-0.31471074483970024</v>
      </c>
      <c r="M604">
        <v>0</v>
      </c>
      <c r="N604">
        <v>0</v>
      </c>
      <c r="O604">
        <v>0</v>
      </c>
      <c r="P604">
        <v>47108.068500000001</v>
      </c>
      <c r="Q604">
        <v>122298</v>
      </c>
      <c r="R604">
        <f>(Granger_Inventory[[#This Row],[ln_acres]]*Granger_Inventory[[#This Row],[coeff]])+Granger_Inventory[[#This Row],[const]]</f>
        <v>107472.58467440539</v>
      </c>
      <c r="S604" t="s">
        <v>56</v>
      </c>
      <c r="T604">
        <v>1</v>
      </c>
      <c r="U604" t="s">
        <v>57</v>
      </c>
      <c r="V604" t="s">
        <v>77</v>
      </c>
      <c r="W604">
        <v>0</v>
      </c>
      <c r="X604">
        <v>0</v>
      </c>
      <c r="Y604">
        <v>47</v>
      </c>
      <c r="Z604">
        <v>58</v>
      </c>
      <c r="AA604">
        <v>60</v>
      </c>
      <c r="AB604">
        <v>2000</v>
      </c>
      <c r="AC604">
        <v>1672</v>
      </c>
      <c r="AD604">
        <v>1672</v>
      </c>
      <c r="AE604">
        <v>0</v>
      </c>
      <c r="AF604">
        <v>0</v>
      </c>
      <c r="AG604">
        <v>0</v>
      </c>
      <c r="AH604">
        <v>448</v>
      </c>
      <c r="AI604">
        <v>0</v>
      </c>
      <c r="AJ604">
        <v>0</v>
      </c>
      <c r="AK604">
        <v>280</v>
      </c>
      <c r="AL604">
        <v>0</v>
      </c>
      <c r="AM604">
        <v>480</v>
      </c>
      <c r="AN604">
        <v>132</v>
      </c>
      <c r="AO604">
        <v>150</v>
      </c>
      <c r="AP604">
        <v>7</v>
      </c>
      <c r="AQ604">
        <v>0</v>
      </c>
      <c r="AR604">
        <v>1</v>
      </c>
      <c r="AS604" t="s">
        <v>59</v>
      </c>
      <c r="AT604">
        <v>1</v>
      </c>
      <c r="AU604" t="s">
        <v>63</v>
      </c>
      <c r="AV604" t="s">
        <v>65</v>
      </c>
      <c r="AW604">
        <v>1</v>
      </c>
      <c r="AX604">
        <v>3</v>
      </c>
      <c r="AY604">
        <v>0</v>
      </c>
      <c r="AZ604">
        <v>10800</v>
      </c>
      <c r="BA604">
        <v>100</v>
      </c>
      <c r="BB604">
        <v>100</v>
      </c>
      <c r="BC604">
        <v>100</v>
      </c>
      <c r="BD604">
        <v>100</v>
      </c>
      <c r="BE604">
        <v>1</v>
      </c>
      <c r="BF604">
        <v>15000</v>
      </c>
      <c r="BG604">
        <v>1000</v>
      </c>
      <c r="BH604" s="8">
        <f>Granger_Inventory[[#This Row],[land_extract]]*Lookups!$B$3</f>
        <v>64024.728846151258</v>
      </c>
      <c r="BI604" s="8">
        <f>IF(Granger_Inventory[[#This Row],[bldg_style]]="",0,Lookups!$B$2)</f>
        <v>29703.559000000001</v>
      </c>
      <c r="BJ604" s="8">
        <f>_xlfn.IFNA(VLOOKUP(Granger_Inventory[[#This Row],[quality]],Lookups!$H$2:$J$14,3,FALSE),0)</f>
        <v>56414</v>
      </c>
      <c r="BK604" s="8">
        <f>_xlfn.IFNA(VLOOKUP(Granger_Inventory[[#This Row],[condition]],Lookups!$H$17:$J$24,3,FALSE),0)</f>
        <v>33736</v>
      </c>
      <c r="BL604" s="8">
        <f>Granger_Inventory[[#This Row],[Age]]*Lookups!$B$16</f>
        <v>-12025.203799999999</v>
      </c>
      <c r="BM604" s="8">
        <f>Granger_Inventory[[#This Row],[living_area]]*Lookups!$B$17</f>
        <v>112480.303848</v>
      </c>
      <c r="BN604" s="8">
        <f>(Granger_Inventory[[#This Row],[att_gar]]+Granger_Inventory[[#This Row],[blt_gar]])*Lookups!$B$18</f>
        <v>0</v>
      </c>
      <c r="BO604" s="8">
        <f>Granger_Inventory[[#This Row],[Patio]]*Lookups!$B$19</f>
        <v>26071.246079999997</v>
      </c>
      <c r="BP604" s="8">
        <f>SUM(Granger_Inventory[[#This Row],[Intercept]:[Patio_Value]])*Granger_Inventory[[#This Row],[res_pct]]</f>
        <v>246379.90512800001</v>
      </c>
      <c r="BQ604" s="8">
        <f>Granger_Inventory[[#This Row],[land_value]]</f>
        <v>64024.728846151258</v>
      </c>
      <c r="BR604" s="4">
        <f>_xlfn.IFNA(VLOOKUP(Granger_Inventory[[#This Row],[quality]],Lookups!$A$25:$C$35,3,FALSE),1)</f>
        <v>0.98791809110152173</v>
      </c>
      <c r="BS604" s="4">
        <f>_xlfn.IFNA(VLOOKUP(Granger_Inventory[[#This Row],[condition]],Lookups!$A$38:$C$45,3,FALSE),1)</f>
        <v>0.92294678898076177</v>
      </c>
      <c r="BT604" s="4">
        <f>IF(Granger_Inventory[[#This Row],[decade]]="",1,_xlfn.IFNA(VLOOKUP(Granger_Inventory[[#This Row],[decade]],Lookups!$G$28:$I$42,3,FALSE),1))</f>
        <v>0.86581421791274704</v>
      </c>
      <c r="BU604" s="4">
        <f>_xlfn.IFNA(VLOOKUP(Granger_Inventory[[#This Row],[living_area_range]],Lookups!$A$48:$C$57,3,FALSE),1)</f>
        <v>0.97860968051050168</v>
      </c>
      <c r="BV604" s="4">
        <f>AVERAGE(Granger_Inventory[[#This Row],[qual_adj]:[living_range_adj]])</f>
        <v>0.93882219462638306</v>
      </c>
      <c r="BW604" s="8">
        <f>(Granger_Inventory[[#This Row],[sum_land]]-IF(Granger_Inventory[[#This Row],[no_utilities]]=1,12000,0))/IF(Granger_Inventory[[#This Row],[unbuildable]]=1,2,1)</f>
        <v>64024.728846151258</v>
      </c>
      <c r="BX604" s="8">
        <f>Granger_Inventory[[#This Row],[pre_res]]*Granger_Inventory[[#This Row],[overall_adj]]</f>
        <v>231306.92324410903</v>
      </c>
      <c r="BY604">
        <f>IF(ROUND(Granger_Inventory[[#This Row],[adj_land]]*Lookups!$I$45,-2)&lt;Granger_Inventory[[#This Row],[min_land]],Granger_Inventory[[#This Row],[min_land]],ROUND(Granger_Inventory[[#This Row],[adj_land]]*Lookups!$I$45,-2))</f>
        <v>60800</v>
      </c>
      <c r="BZ604">
        <f>ROUND(Granger_Inventory[[#This Row],[detatched_value]]*Lookups!$I$45,-2)</f>
        <v>10300</v>
      </c>
      <c r="CA604">
        <f>IF(ROUND(Granger_Inventory[[#This Row],[adj_res]]*Lookups!$I$45,-2)&lt;Granger_Inventory[[#This Row],[min_res]],Granger_Inventory[[#This Row],[min_res]],ROUND(Granger_Inventory[[#This Row],[adj_res]]*Lookups!$I$45,-2))</f>
        <v>219700</v>
      </c>
      <c r="CB604">
        <f>Granger_Inventory[[#This Row],[final_det]]+Granger_Inventory[[#This Row],[final_res]]</f>
        <v>230000</v>
      </c>
      <c r="CC604">
        <f>Granger_Inventory[[#This Row],[final_land]]+Granger_Inventory[[#This Row],[final_imp]]+Granger_Inventory[[#This Row],[crop_value]]</f>
        <v>290800</v>
      </c>
      <c r="CE604" t="str">
        <f t="shared" si="9"/>
        <v>update valuation set market_land =60800, market_bldg=230000, market_total =290800, market_mdno =402, market_date ='9/10/2023' where link_id = (select link_id from parcel where parcel_year = '2024' and parcel_id = '21102232446');</v>
      </c>
    </row>
    <row r="605" spans="1:83" x14ac:dyDescent="0.25">
      <c r="A605">
        <v>21102232448</v>
      </c>
      <c r="B605">
        <v>6.05</v>
      </c>
      <c r="C605" t="s">
        <v>137</v>
      </c>
      <c r="D605" t="s">
        <v>137</v>
      </c>
      <c r="E605" t="s">
        <v>54</v>
      </c>
      <c r="F605" t="s">
        <v>54</v>
      </c>
      <c r="G605">
        <v>3</v>
      </c>
      <c r="H605" t="s">
        <v>55</v>
      </c>
      <c r="I605">
        <v>346800</v>
      </c>
      <c r="J605">
        <v>48300</v>
      </c>
      <c r="K605">
        <v>6.05</v>
      </c>
      <c r="L605">
        <f>IF(Granger_Inventory[[#This Row],[parcel_acres]]-Granger_Inventory[[#This Row],[non_valued_acres]] =0,0,LN(Granger_Inventory[[#This Row],[parcel_acres]]-Granger_Inventory[[#This Row],[non_valued_acres]]))</f>
        <v>1.80005827204275</v>
      </c>
      <c r="M605">
        <v>0</v>
      </c>
      <c r="N605">
        <v>0</v>
      </c>
      <c r="O605">
        <v>0</v>
      </c>
      <c r="P605">
        <v>47108.068500000001</v>
      </c>
      <c r="Q605">
        <v>122298</v>
      </c>
      <c r="R605">
        <f>(Granger_Inventory[[#This Row],[ln_acres]]*Granger_Inventory[[#This Row],[coeff]])+Granger_Inventory[[#This Row],[const]]</f>
        <v>207095.26838338151</v>
      </c>
      <c r="S605" t="s">
        <v>59</v>
      </c>
      <c r="T605">
        <v>1</v>
      </c>
      <c r="U605" t="s">
        <v>57</v>
      </c>
      <c r="V605" t="s">
        <v>72</v>
      </c>
      <c r="W605">
        <v>0</v>
      </c>
      <c r="X605">
        <v>0</v>
      </c>
      <c r="Y605">
        <v>21</v>
      </c>
      <c r="Z605">
        <v>21</v>
      </c>
      <c r="AA605">
        <v>30</v>
      </c>
      <c r="AB605">
        <v>2500</v>
      </c>
      <c r="AC605">
        <v>2005</v>
      </c>
      <c r="AD605">
        <v>2005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666</v>
      </c>
      <c r="AM605">
        <v>0</v>
      </c>
      <c r="AN605">
        <v>0</v>
      </c>
      <c r="AO605">
        <v>729</v>
      </c>
      <c r="AP605">
        <v>11</v>
      </c>
      <c r="AQ605">
        <v>1</v>
      </c>
      <c r="AR605">
        <v>0</v>
      </c>
      <c r="AS605" t="s">
        <v>59</v>
      </c>
      <c r="AT605">
        <v>1</v>
      </c>
      <c r="AU605" t="s">
        <v>60</v>
      </c>
      <c r="AV605" t="s">
        <v>65</v>
      </c>
      <c r="AW605">
        <v>1</v>
      </c>
      <c r="AX605">
        <v>3</v>
      </c>
      <c r="AY605">
        <v>0</v>
      </c>
      <c r="AZ605">
        <v>55600</v>
      </c>
      <c r="BA605">
        <v>100</v>
      </c>
      <c r="BB605">
        <v>100</v>
      </c>
      <c r="BC605">
        <v>100</v>
      </c>
      <c r="BD605">
        <v>100</v>
      </c>
      <c r="BE605">
        <v>1</v>
      </c>
      <c r="BF605">
        <v>15000</v>
      </c>
      <c r="BG605">
        <v>1000</v>
      </c>
      <c r="BH605" s="8">
        <f>Granger_Inventory[[#This Row],[land_extract]]*Lookups!$B$3</f>
        <v>123373.02991024658</v>
      </c>
      <c r="BI605" s="8">
        <f>IF(Granger_Inventory[[#This Row],[bldg_style]]="",0,Lookups!$B$2)</f>
        <v>29703.559000000001</v>
      </c>
      <c r="BJ605" s="8">
        <f>_xlfn.IFNA(VLOOKUP(Granger_Inventory[[#This Row],[quality]],Lookups!$H$2:$J$14,3,FALSE),0)</f>
        <v>56414</v>
      </c>
      <c r="BK605" s="8">
        <f>_xlfn.IFNA(VLOOKUP(Granger_Inventory[[#This Row],[condition]],Lookups!$H$17:$J$24,3,FALSE),0)</f>
        <v>94106</v>
      </c>
      <c r="BL605" s="8">
        <f>Granger_Inventory[[#This Row],[Age]]*Lookups!$B$16</f>
        <v>-4353.9530999999997</v>
      </c>
      <c r="BM605" s="8">
        <f>Granger_Inventory[[#This Row],[living_area]]*Lookups!$B$17</f>
        <v>134882.18254499999</v>
      </c>
      <c r="BN605" s="8">
        <f>(Granger_Inventory[[#This Row],[att_gar]]+Granger_Inventory[[#This Row],[blt_gar]])*Lookups!$B$18</f>
        <v>0</v>
      </c>
      <c r="BO605" s="8">
        <f>Granger_Inventory[[#This Row],[Patio]]*Lookups!$B$19</f>
        <v>0</v>
      </c>
      <c r="BP605" s="8">
        <f>SUM(Granger_Inventory[[#This Row],[Intercept]:[Patio_Value]])*Granger_Inventory[[#This Row],[res_pct]]</f>
        <v>310751.78844499995</v>
      </c>
      <c r="BQ605" s="8">
        <f>Granger_Inventory[[#This Row],[land_value]]</f>
        <v>123373.02991024658</v>
      </c>
      <c r="BR605" s="4">
        <f>_xlfn.IFNA(VLOOKUP(Granger_Inventory[[#This Row],[quality]],Lookups!$A$25:$C$35,3,FALSE),1)</f>
        <v>0.98791809110152173</v>
      </c>
      <c r="BS605" s="4">
        <f>_xlfn.IFNA(VLOOKUP(Granger_Inventory[[#This Row],[condition]],Lookups!$A$38:$C$45,3,FALSE),1)</f>
        <v>0.98658583151544277</v>
      </c>
      <c r="BT605" s="4">
        <f>IF(Granger_Inventory[[#This Row],[decade]]="",1,_xlfn.IFNA(VLOOKUP(Granger_Inventory[[#This Row],[decade]],Lookups!$G$28:$I$42,3,FALSE),1))</f>
        <v>1.0539470644652671</v>
      </c>
      <c r="BU605" s="4">
        <f>_xlfn.IFNA(VLOOKUP(Granger_Inventory[[#This Row],[living_area_range]],Lookups!$A$48:$C$57,3,FALSE),1)</f>
        <v>1.0000039906678986</v>
      </c>
      <c r="BV605" s="4">
        <f>AVERAGE(Granger_Inventory[[#This Row],[qual_adj]:[living_range_adj]])</f>
        <v>1.0071137444375324</v>
      </c>
      <c r="BW605" s="8">
        <f>(Granger_Inventory[[#This Row],[sum_land]]-IF(Granger_Inventory[[#This Row],[no_utilities]]=1,12000,0))/IF(Granger_Inventory[[#This Row],[unbuildable]]=1,2,1)</f>
        <v>123373.02991024658</v>
      </c>
      <c r="BX605" s="8">
        <f>Granger_Inventory[[#This Row],[pre_res]]*Granger_Inventory[[#This Row],[overall_adj]]</f>
        <v>312962.39725150383</v>
      </c>
      <c r="BY605">
        <f>IF(ROUND(Granger_Inventory[[#This Row],[adj_land]]*Lookups!$I$45,-2)&lt;Granger_Inventory[[#This Row],[min_land]],Granger_Inventory[[#This Row],[min_land]],ROUND(Granger_Inventory[[#This Row],[adj_land]]*Lookups!$I$45,-2))</f>
        <v>117200</v>
      </c>
      <c r="BZ605">
        <f>ROUND(Granger_Inventory[[#This Row],[detatched_value]]*Lookups!$I$45,-2)</f>
        <v>52800</v>
      </c>
      <c r="CA605">
        <f>IF(ROUND(Granger_Inventory[[#This Row],[adj_res]]*Lookups!$I$45,-2)&lt;Granger_Inventory[[#This Row],[min_res]],Granger_Inventory[[#This Row],[min_res]],ROUND(Granger_Inventory[[#This Row],[adj_res]]*Lookups!$I$45,-2))</f>
        <v>297300</v>
      </c>
      <c r="CB605">
        <f>Granger_Inventory[[#This Row],[final_det]]+Granger_Inventory[[#This Row],[final_res]]</f>
        <v>350100</v>
      </c>
      <c r="CC605">
        <f>Granger_Inventory[[#This Row],[final_land]]+Granger_Inventory[[#This Row],[final_imp]]+Granger_Inventory[[#This Row],[crop_value]]</f>
        <v>467300</v>
      </c>
      <c r="CE605" t="str">
        <f t="shared" si="9"/>
        <v>update valuation set market_land =117200, market_bldg=350100, market_total =467300, market_mdno =402, market_date ='9/10/2023' where link_id = (select link_id from parcel where parcel_year = '2024' and parcel_id = '21102232448');</v>
      </c>
    </row>
    <row r="606" spans="1:83" x14ac:dyDescent="0.25">
      <c r="A606">
        <v>21102232451</v>
      </c>
      <c r="B606">
        <v>0.99</v>
      </c>
      <c r="C606" t="s">
        <v>137</v>
      </c>
      <c r="D606" t="s">
        <v>137</v>
      </c>
      <c r="E606" t="s">
        <v>54</v>
      </c>
      <c r="F606" t="s">
        <v>54</v>
      </c>
      <c r="G606">
        <v>3</v>
      </c>
      <c r="H606" t="s">
        <v>55</v>
      </c>
      <c r="I606">
        <v>394700</v>
      </c>
      <c r="J606">
        <v>37500</v>
      </c>
      <c r="K606">
        <v>0.99</v>
      </c>
      <c r="L606">
        <f>IF(Granger_Inventory[[#This Row],[parcel_acres]]-Granger_Inventory[[#This Row],[non_valued_acres]] =0,0,LN(Granger_Inventory[[#This Row],[parcel_acres]]-Granger_Inventory[[#This Row],[non_valued_acres]]))</f>
        <v>-1.0050335853501451E-2</v>
      </c>
      <c r="M606">
        <v>0</v>
      </c>
      <c r="N606">
        <v>0</v>
      </c>
      <c r="O606">
        <v>0</v>
      </c>
      <c r="P606">
        <v>47108.068500000001</v>
      </c>
      <c r="Q606">
        <v>122298</v>
      </c>
      <c r="R606">
        <f>(Granger_Inventory[[#This Row],[ln_acres]]*Granger_Inventory[[#This Row],[coeff]])+Granger_Inventory[[#This Row],[const]]</f>
        <v>121824.54809016525</v>
      </c>
      <c r="S606" t="s">
        <v>62</v>
      </c>
      <c r="T606">
        <v>2</v>
      </c>
      <c r="U606" t="s">
        <v>61</v>
      </c>
      <c r="V606" t="s">
        <v>58</v>
      </c>
      <c r="W606">
        <v>0</v>
      </c>
      <c r="X606">
        <v>0</v>
      </c>
      <c r="Y606">
        <v>8</v>
      </c>
      <c r="Z606">
        <v>8</v>
      </c>
      <c r="AA606">
        <v>10</v>
      </c>
      <c r="AB606">
        <v>2500</v>
      </c>
      <c r="AC606">
        <v>2308</v>
      </c>
      <c r="AD606">
        <v>1832</v>
      </c>
      <c r="AE606">
        <v>476</v>
      </c>
      <c r="AF606">
        <v>0</v>
      </c>
      <c r="AG606">
        <v>0</v>
      </c>
      <c r="AH606">
        <v>0</v>
      </c>
      <c r="AI606">
        <v>650</v>
      </c>
      <c r="AJ606">
        <v>0</v>
      </c>
      <c r="AK606">
        <v>0</v>
      </c>
      <c r="AL606">
        <v>336</v>
      </c>
      <c r="AM606">
        <v>0</v>
      </c>
      <c r="AN606">
        <v>90</v>
      </c>
      <c r="AO606">
        <v>336</v>
      </c>
      <c r="AP606">
        <v>11</v>
      </c>
      <c r="AQ606">
        <v>0</v>
      </c>
      <c r="AR606">
        <v>0</v>
      </c>
      <c r="AS606" t="s">
        <v>59</v>
      </c>
      <c r="AT606">
        <v>1</v>
      </c>
      <c r="AU606" t="s">
        <v>60</v>
      </c>
      <c r="AV606" t="s">
        <v>65</v>
      </c>
      <c r="AW606">
        <v>1</v>
      </c>
      <c r="AX606">
        <v>3</v>
      </c>
      <c r="AY606">
        <v>0</v>
      </c>
      <c r="AZ606">
        <v>0</v>
      </c>
      <c r="BA606">
        <v>100</v>
      </c>
      <c r="BB606">
        <v>100</v>
      </c>
      <c r="BC606">
        <v>100</v>
      </c>
      <c r="BD606">
        <v>100</v>
      </c>
      <c r="BE606">
        <v>1</v>
      </c>
      <c r="BF606">
        <v>15000</v>
      </c>
      <c r="BG606">
        <v>1000</v>
      </c>
      <c r="BH606" s="8">
        <f>Granger_Inventory[[#This Row],[land_extract]]*Lookups!$B$3</f>
        <v>72574.63549339262</v>
      </c>
      <c r="BI606" s="8">
        <f>IF(Granger_Inventory[[#This Row],[bldg_style]]="",0,Lookups!$B$2)</f>
        <v>29703.559000000001</v>
      </c>
      <c r="BJ606" s="8">
        <f>_xlfn.IFNA(VLOOKUP(Granger_Inventory[[#This Row],[quality]],Lookups!$H$2:$J$14,3,FALSE),0)</f>
        <v>71767</v>
      </c>
      <c r="BK606" s="8">
        <f>_xlfn.IFNA(VLOOKUP(Granger_Inventory[[#This Row],[condition]],Lookups!$H$17:$J$24,3,FALSE),0)</f>
        <v>101774</v>
      </c>
      <c r="BL606" s="8">
        <f>Granger_Inventory[[#This Row],[Age]]*Lookups!$B$16</f>
        <v>-1658.6487999999999</v>
      </c>
      <c r="BM606" s="8">
        <f>Granger_Inventory[[#This Row],[living_area]]*Lookups!$B$17</f>
        <v>155265.873972</v>
      </c>
      <c r="BN606" s="8">
        <f>(Granger_Inventory[[#This Row],[att_gar]]+Granger_Inventory[[#This Row],[blt_gar]])*Lookups!$B$18</f>
        <v>31490.930899999999</v>
      </c>
      <c r="BO606" s="8">
        <f>Granger_Inventory[[#This Row],[Patio]]*Lookups!$B$19</f>
        <v>0</v>
      </c>
      <c r="BP606" s="8">
        <f>SUM(Granger_Inventory[[#This Row],[Intercept]:[Patio_Value]])*Granger_Inventory[[#This Row],[res_pct]]</f>
        <v>388342.71507199999</v>
      </c>
      <c r="BQ606" s="8">
        <f>Granger_Inventory[[#This Row],[land_value]]</f>
        <v>72574.63549339262</v>
      </c>
      <c r="BR606" s="4">
        <f>_xlfn.IFNA(VLOOKUP(Granger_Inventory[[#This Row],[quality]],Lookups!$A$25:$C$35,3,FALSE),1)</f>
        <v>0.992092799099482</v>
      </c>
      <c r="BS606" s="4">
        <f>_xlfn.IFNA(VLOOKUP(Granger_Inventory[[#This Row],[condition]],Lookups!$A$38:$C$45,3,FALSE),1)</f>
        <v>0.99135053432734199</v>
      </c>
      <c r="BT606" s="4">
        <f>IF(Granger_Inventory[[#This Row],[decade]]="",1,_xlfn.IFNA(VLOOKUP(Granger_Inventory[[#This Row],[decade]],Lookups!$G$28:$I$42,3,FALSE),1))</f>
        <v>0.95532362136731586</v>
      </c>
      <c r="BU606" s="4">
        <f>_xlfn.IFNA(VLOOKUP(Granger_Inventory[[#This Row],[living_area_range]],Lookups!$A$48:$C$57,3,FALSE),1)</f>
        <v>1.0000039906678986</v>
      </c>
      <c r="BV606" s="4">
        <f>AVERAGE(Granger_Inventory[[#This Row],[qual_adj]:[living_range_adj]])</f>
        <v>0.98469273636550958</v>
      </c>
      <c r="BW606" s="8">
        <f>(Granger_Inventory[[#This Row],[sum_land]]-IF(Granger_Inventory[[#This Row],[no_utilities]]=1,12000,0))/IF(Granger_Inventory[[#This Row],[unbuildable]]=1,2,1)</f>
        <v>72574.63549339262</v>
      </c>
      <c r="BX606" s="8">
        <f>Granger_Inventory[[#This Row],[pre_res]]*Granger_Inventory[[#This Row],[overall_adj]]</f>
        <v>382398.2507518591</v>
      </c>
      <c r="BY606">
        <f>IF(ROUND(Granger_Inventory[[#This Row],[adj_land]]*Lookups!$I$45,-2)&lt;Granger_Inventory[[#This Row],[min_land]],Granger_Inventory[[#This Row],[min_land]],ROUND(Granger_Inventory[[#This Row],[adj_land]]*Lookups!$I$45,-2))</f>
        <v>68900</v>
      </c>
      <c r="BZ606">
        <f>ROUND(Granger_Inventory[[#This Row],[detatched_value]]*Lookups!$I$45,-2)</f>
        <v>0</v>
      </c>
      <c r="CA606">
        <f>IF(ROUND(Granger_Inventory[[#This Row],[adj_res]]*Lookups!$I$45,-2)&lt;Granger_Inventory[[#This Row],[min_res]],Granger_Inventory[[#This Row],[min_res]],ROUND(Granger_Inventory[[#This Row],[adj_res]]*Lookups!$I$45,-2))</f>
        <v>363300</v>
      </c>
      <c r="CB606">
        <f>Granger_Inventory[[#This Row],[final_det]]+Granger_Inventory[[#This Row],[final_res]]</f>
        <v>363300</v>
      </c>
      <c r="CC606">
        <f>Granger_Inventory[[#This Row],[final_land]]+Granger_Inventory[[#This Row],[final_imp]]+Granger_Inventory[[#This Row],[crop_value]]</f>
        <v>432200</v>
      </c>
      <c r="CE606" t="str">
        <f t="shared" si="9"/>
        <v>update valuation set market_land =68900, market_bldg=363300, market_total =432200, market_mdno =402, market_date ='9/10/2023' where link_id = (select link_id from parcel where parcel_year = '2024' and parcel_id = '21102232451');</v>
      </c>
    </row>
    <row r="607" spans="1:83" x14ac:dyDescent="0.25">
      <c r="A607">
        <v>21102232453</v>
      </c>
      <c r="B607">
        <v>0.69</v>
      </c>
      <c r="C607" t="s">
        <v>137</v>
      </c>
      <c r="D607" t="s">
        <v>137</v>
      </c>
      <c r="E607" t="s">
        <v>54</v>
      </c>
      <c r="F607" t="s">
        <v>54</v>
      </c>
      <c r="G607">
        <v>3</v>
      </c>
      <c r="H607" t="s">
        <v>55</v>
      </c>
      <c r="I607">
        <v>391800</v>
      </c>
      <c r="J607">
        <v>35400</v>
      </c>
      <c r="K607">
        <v>0.69</v>
      </c>
      <c r="L607">
        <f>IF(Granger_Inventory[[#This Row],[parcel_acres]]-Granger_Inventory[[#This Row],[non_valued_acres]] =0,0,LN(Granger_Inventory[[#This Row],[parcel_acres]]-Granger_Inventory[[#This Row],[non_valued_acres]]))</f>
        <v>-0.37106368139083207</v>
      </c>
      <c r="M607">
        <v>0</v>
      </c>
      <c r="N607">
        <v>0</v>
      </c>
      <c r="O607">
        <v>0</v>
      </c>
      <c r="P607">
        <v>47108.068500000001</v>
      </c>
      <c r="Q607">
        <v>122298</v>
      </c>
      <c r="R607">
        <f>(Granger_Inventory[[#This Row],[ln_acres]]*Granger_Inventory[[#This Row],[coeff]])+Granger_Inventory[[#This Row],[const]]</f>
        <v>104817.9066791785</v>
      </c>
      <c r="S607" t="s">
        <v>59</v>
      </c>
      <c r="T607">
        <v>2</v>
      </c>
      <c r="U607" t="s">
        <v>57</v>
      </c>
      <c r="V607" t="s">
        <v>58</v>
      </c>
      <c r="W607">
        <v>0</v>
      </c>
      <c r="X607">
        <v>0</v>
      </c>
      <c r="Y607">
        <v>6</v>
      </c>
      <c r="Z607">
        <v>6</v>
      </c>
      <c r="AA607">
        <v>10</v>
      </c>
      <c r="AB607">
        <v>3000</v>
      </c>
      <c r="AC607">
        <v>2560</v>
      </c>
      <c r="AD607">
        <v>1280</v>
      </c>
      <c r="AE607">
        <v>1280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256</v>
      </c>
      <c r="AN607">
        <v>256</v>
      </c>
      <c r="AO607">
        <v>0</v>
      </c>
      <c r="AP607">
        <v>14</v>
      </c>
      <c r="AQ607">
        <v>0</v>
      </c>
      <c r="AR607">
        <v>0</v>
      </c>
      <c r="AS607" t="s">
        <v>59</v>
      </c>
      <c r="AT607">
        <v>1</v>
      </c>
      <c r="AU607" t="s">
        <v>60</v>
      </c>
      <c r="AV607" t="s">
        <v>61</v>
      </c>
      <c r="AW607">
        <v>1</v>
      </c>
      <c r="AX607">
        <v>4</v>
      </c>
      <c r="AY607">
        <v>0</v>
      </c>
      <c r="AZ607">
        <v>50400</v>
      </c>
      <c r="BA607">
        <v>100</v>
      </c>
      <c r="BB607">
        <v>100</v>
      </c>
      <c r="BC607">
        <v>100</v>
      </c>
      <c r="BD607">
        <v>100</v>
      </c>
      <c r="BE607">
        <v>1</v>
      </c>
      <c r="BF607">
        <v>15000</v>
      </c>
      <c r="BG607">
        <v>1000</v>
      </c>
      <c r="BH607" s="8">
        <f>Granger_Inventory[[#This Row],[land_extract]]*Lookups!$B$3</f>
        <v>62443.255400312351</v>
      </c>
      <c r="BI607" s="8">
        <f>IF(Granger_Inventory[[#This Row],[bldg_style]]="",0,Lookups!$B$2)</f>
        <v>29703.559000000001</v>
      </c>
      <c r="BJ607" s="8">
        <f>_xlfn.IFNA(VLOOKUP(Granger_Inventory[[#This Row],[quality]],Lookups!$H$2:$J$14,3,FALSE),0)</f>
        <v>56414</v>
      </c>
      <c r="BK607" s="8">
        <f>_xlfn.IFNA(VLOOKUP(Granger_Inventory[[#This Row],[condition]],Lookups!$H$17:$J$24,3,FALSE),0)</f>
        <v>101774</v>
      </c>
      <c r="BL607" s="8">
        <f>Granger_Inventory[[#This Row],[Age]]*Lookups!$B$16</f>
        <v>-1243.9866</v>
      </c>
      <c r="BM607" s="8">
        <f>Granger_Inventory[[#This Row],[living_area]]*Lookups!$B$17</f>
        <v>172218.64704000001</v>
      </c>
      <c r="BN607" s="8">
        <f>(Granger_Inventory[[#This Row],[att_gar]]+Granger_Inventory[[#This Row],[blt_gar]])*Lookups!$B$18</f>
        <v>0</v>
      </c>
      <c r="BO607" s="8">
        <f>Granger_Inventory[[#This Row],[Patio]]*Lookups!$B$19</f>
        <v>13904.664575999999</v>
      </c>
      <c r="BP607" s="8">
        <f>SUM(Granger_Inventory[[#This Row],[Intercept]:[Patio_Value]])*Granger_Inventory[[#This Row],[res_pct]]</f>
        <v>372770.88401600003</v>
      </c>
      <c r="BQ607" s="8">
        <f>Granger_Inventory[[#This Row],[land_value]]</f>
        <v>62443.255400312351</v>
      </c>
      <c r="BR607" s="4">
        <f>_xlfn.IFNA(VLOOKUP(Granger_Inventory[[#This Row],[quality]],Lookups!$A$25:$C$35,3,FALSE),1)</f>
        <v>0.98791809110152173</v>
      </c>
      <c r="BS607" s="4">
        <f>_xlfn.IFNA(VLOOKUP(Granger_Inventory[[#This Row],[condition]],Lookups!$A$38:$C$45,3,FALSE),1)</f>
        <v>0.99135053432734199</v>
      </c>
      <c r="BT607" s="4">
        <f>IF(Granger_Inventory[[#This Row],[decade]]="",1,_xlfn.IFNA(VLOOKUP(Granger_Inventory[[#This Row],[decade]],Lookups!$G$28:$I$42,3,FALSE),1))</f>
        <v>0.95532362136731586</v>
      </c>
      <c r="BU607" s="4">
        <f>_xlfn.IFNA(VLOOKUP(Granger_Inventory[[#This Row],[living_area_range]],Lookups!$A$48:$C$57,3,FALSE),1)</f>
        <v>0.99995754169072248</v>
      </c>
      <c r="BV607" s="4">
        <f>AVERAGE(Granger_Inventory[[#This Row],[qual_adj]:[living_range_adj]])</f>
        <v>0.98363744712172552</v>
      </c>
      <c r="BW607" s="8">
        <f>(Granger_Inventory[[#This Row],[sum_land]]-IF(Granger_Inventory[[#This Row],[no_utilities]]=1,12000,0))/IF(Granger_Inventory[[#This Row],[unbuildable]]=1,2,1)</f>
        <v>62443.255400312351</v>
      </c>
      <c r="BX607" s="8">
        <f>Granger_Inventory[[#This Row],[pre_res]]*Granger_Inventory[[#This Row],[overall_adj]]</f>
        <v>366671.4007148071</v>
      </c>
      <c r="BY607">
        <f>IF(ROUND(Granger_Inventory[[#This Row],[adj_land]]*Lookups!$I$45,-2)&lt;Granger_Inventory[[#This Row],[min_land]],Granger_Inventory[[#This Row],[min_land]],ROUND(Granger_Inventory[[#This Row],[adj_land]]*Lookups!$I$45,-2))</f>
        <v>59300</v>
      </c>
      <c r="BZ607">
        <f>ROUND(Granger_Inventory[[#This Row],[detatched_value]]*Lookups!$I$45,-2)</f>
        <v>47900</v>
      </c>
      <c r="CA607">
        <f>IF(ROUND(Granger_Inventory[[#This Row],[adj_res]]*Lookups!$I$45,-2)&lt;Granger_Inventory[[#This Row],[min_res]],Granger_Inventory[[#This Row],[min_res]],ROUND(Granger_Inventory[[#This Row],[adj_res]]*Lookups!$I$45,-2))</f>
        <v>348300</v>
      </c>
      <c r="CB607">
        <f>Granger_Inventory[[#This Row],[final_det]]+Granger_Inventory[[#This Row],[final_res]]</f>
        <v>396200</v>
      </c>
      <c r="CC607">
        <f>Granger_Inventory[[#This Row],[final_land]]+Granger_Inventory[[#This Row],[final_imp]]+Granger_Inventory[[#This Row],[crop_value]]</f>
        <v>455500</v>
      </c>
      <c r="CE607" t="str">
        <f t="shared" si="9"/>
        <v>update valuation set market_land =59300, market_bldg=396200, market_total =455500, market_mdno =402, market_date ='9/10/2023' where link_id = (select link_id from parcel where parcel_year = '2024' and parcel_id = '21102232453');</v>
      </c>
    </row>
    <row r="608" spans="1:83" x14ac:dyDescent="0.25">
      <c r="A608">
        <v>21102234401</v>
      </c>
      <c r="B608">
        <v>2.76</v>
      </c>
      <c r="C608">
        <v>120080</v>
      </c>
      <c r="D608" t="s">
        <v>137</v>
      </c>
      <c r="E608" t="s">
        <v>54</v>
      </c>
      <c r="F608" t="s">
        <v>54</v>
      </c>
      <c r="G608">
        <v>3</v>
      </c>
      <c r="H608" t="s">
        <v>55</v>
      </c>
      <c r="I608">
        <v>512100</v>
      </c>
      <c r="J608">
        <v>43600</v>
      </c>
      <c r="K608">
        <v>2.76</v>
      </c>
      <c r="L608">
        <f>IF(Granger_Inventory[[#This Row],[parcel_acres]]-Granger_Inventory[[#This Row],[non_valued_acres]] =0,0,LN(Granger_Inventory[[#This Row],[parcel_acres]]-Granger_Inventory[[#This Row],[non_valued_acres]]))</f>
        <v>1.0152306797290584</v>
      </c>
      <c r="M608">
        <v>0</v>
      </c>
      <c r="N608">
        <v>0</v>
      </c>
      <c r="O608">
        <v>0</v>
      </c>
      <c r="P608">
        <v>47108.068500000001</v>
      </c>
      <c r="Q608">
        <v>122298</v>
      </c>
      <c r="R608">
        <f>(Granger_Inventory[[#This Row],[ln_acres]]*Granger_Inventory[[#This Row],[coeff]])+Granger_Inventory[[#This Row],[const]]</f>
        <v>170123.55640397806</v>
      </c>
      <c r="S608" t="s">
        <v>59</v>
      </c>
      <c r="T608">
        <v>1</v>
      </c>
      <c r="U608" t="s">
        <v>74</v>
      </c>
      <c r="V608" t="s">
        <v>77</v>
      </c>
      <c r="W608">
        <v>30700</v>
      </c>
      <c r="X608">
        <v>0</v>
      </c>
      <c r="Y608">
        <v>31</v>
      </c>
      <c r="Z608">
        <v>31</v>
      </c>
      <c r="AA608">
        <v>40</v>
      </c>
      <c r="AB608">
        <v>4500</v>
      </c>
      <c r="AC608">
        <v>4312</v>
      </c>
      <c r="AD608">
        <v>3392</v>
      </c>
      <c r="AE608">
        <v>0</v>
      </c>
      <c r="AF608">
        <v>0</v>
      </c>
      <c r="AG608">
        <v>920</v>
      </c>
      <c r="AH608">
        <v>1688</v>
      </c>
      <c r="AI608">
        <v>768</v>
      </c>
      <c r="AJ608">
        <v>0</v>
      </c>
      <c r="AK608">
        <v>0</v>
      </c>
      <c r="AL608">
        <v>907</v>
      </c>
      <c r="AM608">
        <v>484</v>
      </c>
      <c r="AN608">
        <v>0</v>
      </c>
      <c r="AO608">
        <v>0</v>
      </c>
      <c r="AP608">
        <v>14</v>
      </c>
      <c r="AQ608">
        <v>0</v>
      </c>
      <c r="AR608">
        <v>1</v>
      </c>
      <c r="AS608" t="s">
        <v>141</v>
      </c>
      <c r="AT608">
        <v>1</v>
      </c>
      <c r="AU608" t="s">
        <v>63</v>
      </c>
      <c r="AV608" t="s">
        <v>65</v>
      </c>
      <c r="AW608">
        <v>1</v>
      </c>
      <c r="AX608">
        <v>4</v>
      </c>
      <c r="AY608">
        <v>0</v>
      </c>
      <c r="AZ608">
        <v>0</v>
      </c>
      <c r="BA608">
        <v>100</v>
      </c>
      <c r="BB608">
        <v>100</v>
      </c>
      <c r="BC608">
        <v>100</v>
      </c>
      <c r="BD608">
        <v>100</v>
      </c>
      <c r="BE608">
        <v>1</v>
      </c>
      <c r="BF608">
        <v>15000</v>
      </c>
      <c r="BG608">
        <v>1000</v>
      </c>
      <c r="BH608" s="8">
        <f>Granger_Inventory[[#This Row],[land_extract]]*Lookups!$B$3</f>
        <v>101347.84235538698</v>
      </c>
      <c r="BI608" s="8">
        <f>IF(Granger_Inventory[[#This Row],[bldg_style]]="",0,Lookups!$B$2)</f>
        <v>29703.559000000001</v>
      </c>
      <c r="BJ608" s="8">
        <f>_xlfn.IFNA(VLOOKUP(Granger_Inventory[[#This Row],[quality]],Lookups!$H$2:$J$14,3,FALSE),0)</f>
        <v>94366</v>
      </c>
      <c r="BK608" s="8">
        <f>_xlfn.IFNA(VLOOKUP(Granger_Inventory[[#This Row],[condition]],Lookups!$H$17:$J$24,3,FALSE),0)</f>
        <v>33736</v>
      </c>
      <c r="BL608" s="8">
        <f>Granger_Inventory[[#This Row],[Age]]*Lookups!$B$16</f>
        <v>-6427.2640999999994</v>
      </c>
      <c r="BM608" s="8">
        <f>Granger_Inventory[[#This Row],[living_area]]*Lookups!$B$17</f>
        <v>290080.78360799997</v>
      </c>
      <c r="BN608" s="8">
        <f>(Granger_Inventory[[#This Row],[att_gar]]+Granger_Inventory[[#This Row],[blt_gar]])*Lookups!$B$18</f>
        <v>37207.746048000001</v>
      </c>
      <c r="BO608" s="8">
        <f>Granger_Inventory[[#This Row],[Patio]]*Lookups!$B$19</f>
        <v>26288.506463999998</v>
      </c>
      <c r="BP608" s="8">
        <f>SUM(Granger_Inventory[[#This Row],[Intercept]:[Patio_Value]])*Granger_Inventory[[#This Row],[res_pct]]</f>
        <v>504955.33101999998</v>
      </c>
      <c r="BQ608" s="8">
        <f>Granger_Inventory[[#This Row],[land_value]]</f>
        <v>101347.84235538698</v>
      </c>
      <c r="BR608" s="4">
        <f>_xlfn.IFNA(VLOOKUP(Granger_Inventory[[#This Row],[quality]],Lookups!$A$25:$C$35,3,FALSE),1)</f>
        <v>0.99995754169072248</v>
      </c>
      <c r="BS608" s="4">
        <f>_xlfn.IFNA(VLOOKUP(Granger_Inventory[[#This Row],[condition]],Lookups!$A$38:$C$45,3,FALSE),1)</f>
        <v>0.92294678898076177</v>
      </c>
      <c r="BT608" s="4">
        <f>IF(Granger_Inventory[[#This Row],[decade]]="",1,_xlfn.IFNA(VLOOKUP(Granger_Inventory[[#This Row],[decade]],Lookups!$G$28:$I$42,3,FALSE),1))</f>
        <v>0.98127609555109363</v>
      </c>
      <c r="BU608" s="4">
        <f>_xlfn.IFNA(VLOOKUP(Granger_Inventory[[#This Row],[living_area_range]],Lookups!$A$48:$C$57,3,FALSE),1)</f>
        <v>0.99995754169072248</v>
      </c>
      <c r="BV608" s="4">
        <f>AVERAGE(Granger_Inventory[[#This Row],[qual_adj]:[living_range_adj]])</f>
        <v>0.97603449197832504</v>
      </c>
      <c r="BW608" s="8">
        <f>(Granger_Inventory[[#This Row],[sum_land]]-IF(Granger_Inventory[[#This Row],[no_utilities]]=1,12000,0))/IF(Granger_Inventory[[#This Row],[unbuildable]]=1,2,1)</f>
        <v>101347.84235538698</v>
      </c>
      <c r="BX608" s="8">
        <f>Granger_Inventory[[#This Row],[pre_res]]*Granger_Inventory[[#This Row],[overall_adj]]</f>
        <v>492853.81998385262</v>
      </c>
      <c r="BY608">
        <f>IF(ROUND(Granger_Inventory[[#This Row],[adj_land]]*Lookups!$I$45,-2)&lt;Granger_Inventory[[#This Row],[min_land]],Granger_Inventory[[#This Row],[min_land]],ROUND(Granger_Inventory[[#This Row],[adj_land]]*Lookups!$I$45,-2))</f>
        <v>96300</v>
      </c>
      <c r="BZ608">
        <f>ROUND(Granger_Inventory[[#This Row],[detatched_value]]*Lookups!$I$45,-2)</f>
        <v>0</v>
      </c>
      <c r="CA608">
        <f>IF(ROUND(Granger_Inventory[[#This Row],[adj_res]]*Lookups!$I$45,-2)&lt;Granger_Inventory[[#This Row],[min_res]],Granger_Inventory[[#This Row],[min_res]],ROUND(Granger_Inventory[[#This Row],[adj_res]]*Lookups!$I$45,-2))</f>
        <v>468200</v>
      </c>
      <c r="CB608">
        <f>Granger_Inventory[[#This Row],[final_det]]+Granger_Inventory[[#This Row],[final_res]]</f>
        <v>468200</v>
      </c>
      <c r="CC608">
        <f>Granger_Inventory[[#This Row],[final_land]]+Granger_Inventory[[#This Row],[final_imp]]+Granger_Inventory[[#This Row],[crop_value]]</f>
        <v>564500</v>
      </c>
      <c r="CE608" t="str">
        <f t="shared" si="9"/>
        <v>update valuation set market_land =96300, market_bldg=468200, market_total =564500, market_mdno =402, market_date ='9/10/2023' where link_id = (select link_id from parcel where parcel_year = '2024' and parcel_id = '21102234401');</v>
      </c>
    </row>
    <row r="609" spans="1:83" x14ac:dyDescent="0.25">
      <c r="A609">
        <v>21102234404</v>
      </c>
      <c r="B609">
        <v>0.41</v>
      </c>
      <c r="C609" t="s">
        <v>137</v>
      </c>
      <c r="D609" t="s">
        <v>137</v>
      </c>
      <c r="E609" t="s">
        <v>54</v>
      </c>
      <c r="F609" t="s">
        <v>54</v>
      </c>
      <c r="G609">
        <v>3</v>
      </c>
      <c r="H609" t="s">
        <v>55</v>
      </c>
      <c r="I609">
        <v>455900</v>
      </c>
      <c r="J609">
        <v>31600</v>
      </c>
      <c r="K609">
        <v>0.41</v>
      </c>
      <c r="L609">
        <f>IF(Granger_Inventory[[#This Row],[parcel_acres]]-Granger_Inventory[[#This Row],[non_valued_acres]] =0,0,LN(Granger_Inventory[[#This Row],[parcel_acres]]-Granger_Inventory[[#This Row],[non_valued_acres]]))</f>
        <v>-0.89159811928378363</v>
      </c>
      <c r="M609">
        <v>0</v>
      </c>
      <c r="N609">
        <v>0</v>
      </c>
      <c r="O609">
        <v>0</v>
      </c>
      <c r="P609">
        <v>47108.068500000001</v>
      </c>
      <c r="Q609">
        <v>122298</v>
      </c>
      <c r="R609">
        <f>(Granger_Inventory[[#This Row],[ln_acres]]*Granger_Inventory[[#This Row],[coeff]])+Granger_Inventory[[#This Row],[const]]</f>
        <v>80296.534722308352</v>
      </c>
      <c r="S609" t="s">
        <v>73</v>
      </c>
      <c r="T609">
        <v>1</v>
      </c>
      <c r="U609" t="s">
        <v>65</v>
      </c>
      <c r="V609" t="s">
        <v>72</v>
      </c>
      <c r="W609">
        <v>271700</v>
      </c>
      <c r="X609">
        <v>0</v>
      </c>
      <c r="Y609">
        <v>19</v>
      </c>
      <c r="Z609">
        <v>19</v>
      </c>
      <c r="AA609">
        <v>20</v>
      </c>
      <c r="AB609">
        <v>2500</v>
      </c>
      <c r="AC609">
        <v>2311</v>
      </c>
      <c r="AD609">
        <v>2311</v>
      </c>
      <c r="AE609">
        <v>0</v>
      </c>
      <c r="AF609">
        <v>0</v>
      </c>
      <c r="AG609">
        <v>0</v>
      </c>
      <c r="AH609">
        <v>0</v>
      </c>
      <c r="AI609">
        <v>704</v>
      </c>
      <c r="AJ609">
        <v>0</v>
      </c>
      <c r="AK609">
        <v>0</v>
      </c>
      <c r="AL609">
        <v>0</v>
      </c>
      <c r="AM609">
        <v>1205</v>
      </c>
      <c r="AN609">
        <v>681</v>
      </c>
      <c r="AO609">
        <v>0</v>
      </c>
      <c r="AP609">
        <v>18</v>
      </c>
      <c r="AQ609">
        <v>0</v>
      </c>
      <c r="AR609">
        <v>0</v>
      </c>
      <c r="AS609" t="s">
        <v>75</v>
      </c>
      <c r="AT609">
        <v>1</v>
      </c>
      <c r="AU609" t="s">
        <v>60</v>
      </c>
      <c r="AV609" t="s">
        <v>65</v>
      </c>
      <c r="AW609">
        <v>1</v>
      </c>
      <c r="AX609">
        <v>3</v>
      </c>
      <c r="AY609">
        <v>0</v>
      </c>
      <c r="AZ609">
        <v>0</v>
      </c>
      <c r="BA609">
        <v>100</v>
      </c>
      <c r="BB609">
        <v>100</v>
      </c>
      <c r="BC609">
        <v>100</v>
      </c>
      <c r="BD609">
        <v>100</v>
      </c>
      <c r="BE609">
        <v>1</v>
      </c>
      <c r="BF609">
        <v>15000</v>
      </c>
      <c r="BG609">
        <v>1000</v>
      </c>
      <c r="BH609" s="8">
        <f>Granger_Inventory[[#This Row],[land_extract]]*Lookups!$B$3</f>
        <v>47835.11886734853</v>
      </c>
      <c r="BI609" s="8">
        <f>IF(Granger_Inventory[[#This Row],[bldg_style]]="",0,Lookups!$B$2)</f>
        <v>29703.559000000001</v>
      </c>
      <c r="BJ609" s="8">
        <f>_xlfn.IFNA(VLOOKUP(Granger_Inventory[[#This Row],[quality]],Lookups!$H$2:$J$14,3,FALSE),0)</f>
        <v>221767</v>
      </c>
      <c r="BK609" s="8">
        <f>_xlfn.IFNA(VLOOKUP(Granger_Inventory[[#This Row],[condition]],Lookups!$H$17:$J$24,3,FALSE),0)</f>
        <v>94106</v>
      </c>
      <c r="BL609" s="8">
        <f>Granger_Inventory[[#This Row],[Age]]*Lookups!$B$16</f>
        <v>-3939.2909</v>
      </c>
      <c r="BM609" s="8">
        <f>Granger_Inventory[[#This Row],[living_area]]*Lookups!$B$17</f>
        <v>155467.69269900001</v>
      </c>
      <c r="BN609" s="8">
        <f>(Granger_Inventory[[#This Row],[att_gar]]+Granger_Inventory[[#This Row],[blt_gar]])*Lookups!$B$18</f>
        <v>34107.100544000001</v>
      </c>
      <c r="BO609" s="8">
        <f>Granger_Inventory[[#This Row],[Patio]]*Lookups!$B$19</f>
        <v>65449.69068</v>
      </c>
      <c r="BP609" s="8">
        <f>SUM(Granger_Inventory[[#This Row],[Intercept]:[Patio_Value]])*Granger_Inventory[[#This Row],[res_pct]]</f>
        <v>596661.75202300004</v>
      </c>
      <c r="BQ609" s="8">
        <f>Granger_Inventory[[#This Row],[land_value]]</f>
        <v>47835.11886734853</v>
      </c>
      <c r="BR609" s="4">
        <f>_xlfn.IFNA(VLOOKUP(Granger_Inventory[[#This Row],[quality]],Lookups!$A$25:$C$35,3,FALSE),1)</f>
        <v>1.0000039906678986</v>
      </c>
      <c r="BS609" s="4">
        <f>_xlfn.IFNA(VLOOKUP(Granger_Inventory[[#This Row],[condition]],Lookups!$A$38:$C$45,3,FALSE),1)</f>
        <v>0.98658583151544277</v>
      </c>
      <c r="BT609" s="4">
        <f>IF(Granger_Inventory[[#This Row],[decade]]="",1,_xlfn.IFNA(VLOOKUP(Granger_Inventory[[#This Row],[decade]],Lookups!$G$28:$I$42,3,FALSE),1))</f>
        <v>1.0159161060824455</v>
      </c>
      <c r="BU609" s="4">
        <f>_xlfn.IFNA(VLOOKUP(Granger_Inventory[[#This Row],[living_area_range]],Lookups!$A$48:$C$57,3,FALSE),1)</f>
        <v>1.0000039906678986</v>
      </c>
      <c r="BV609" s="4">
        <f>AVERAGE(Granger_Inventory[[#This Row],[qual_adj]:[living_range_adj]])</f>
        <v>1.0006274797334214</v>
      </c>
      <c r="BW609" s="8">
        <f>(Granger_Inventory[[#This Row],[sum_land]]-IF(Granger_Inventory[[#This Row],[no_utilities]]=1,12000,0))/IF(Granger_Inventory[[#This Row],[unbuildable]]=1,2,1)</f>
        <v>47835.11886734853</v>
      </c>
      <c r="BX609" s="8">
        <f>Granger_Inventory[[#This Row],[pre_res]]*Granger_Inventory[[#This Row],[overall_adj]]</f>
        <v>597036.1451801022</v>
      </c>
      <c r="BY609">
        <f>IF(ROUND(Granger_Inventory[[#This Row],[adj_land]]*Lookups!$I$45,-2)&lt;Granger_Inventory[[#This Row],[min_land]],Granger_Inventory[[#This Row],[min_land]],ROUND(Granger_Inventory[[#This Row],[adj_land]]*Lookups!$I$45,-2))</f>
        <v>45400</v>
      </c>
      <c r="BZ609">
        <f>ROUND(Granger_Inventory[[#This Row],[detatched_value]]*Lookups!$I$45,-2)</f>
        <v>0</v>
      </c>
      <c r="CA609">
        <f>IF(ROUND(Granger_Inventory[[#This Row],[adj_res]]*Lookups!$I$45,-2)&lt;Granger_Inventory[[#This Row],[min_res]],Granger_Inventory[[#This Row],[min_res]],ROUND(Granger_Inventory[[#This Row],[adj_res]]*Lookups!$I$45,-2))</f>
        <v>567200</v>
      </c>
      <c r="CB609">
        <f>Granger_Inventory[[#This Row],[final_det]]+Granger_Inventory[[#This Row],[final_res]]</f>
        <v>567200</v>
      </c>
      <c r="CC609">
        <f>Granger_Inventory[[#This Row],[final_land]]+Granger_Inventory[[#This Row],[final_imp]]+Granger_Inventory[[#This Row],[crop_value]]</f>
        <v>612600</v>
      </c>
      <c r="CE609" t="str">
        <f t="shared" si="9"/>
        <v>update valuation set market_land =45400, market_bldg=567200, market_total =612600, market_mdno =402, market_date ='9/10/2023' where link_id = (select link_id from parcel where parcel_year = '2024' and parcel_id = '21102234404');</v>
      </c>
    </row>
    <row r="610" spans="1:83" x14ac:dyDescent="0.25">
      <c r="A610">
        <v>21102234405</v>
      </c>
      <c r="B610">
        <v>0.38</v>
      </c>
      <c r="C610">
        <v>16733</v>
      </c>
      <c r="D610" t="s">
        <v>137</v>
      </c>
      <c r="E610" t="s">
        <v>54</v>
      </c>
      <c r="F610" t="s">
        <v>54</v>
      </c>
      <c r="G610">
        <v>3</v>
      </c>
      <c r="H610" t="s">
        <v>55</v>
      </c>
      <c r="I610">
        <v>508000</v>
      </c>
      <c r="J610">
        <v>31800</v>
      </c>
      <c r="K610">
        <v>0.38</v>
      </c>
      <c r="L610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610">
        <v>0</v>
      </c>
      <c r="N610">
        <v>0</v>
      </c>
      <c r="O610">
        <v>0</v>
      </c>
      <c r="P610">
        <v>47108.068500000001</v>
      </c>
      <c r="Q610">
        <v>122298</v>
      </c>
      <c r="R610">
        <f>(Granger_Inventory[[#This Row],[ln_acres]]*Granger_Inventory[[#This Row],[coeff]])+Granger_Inventory[[#This Row],[const]]</f>
        <v>76716.985411357775</v>
      </c>
      <c r="S610" t="s">
        <v>59</v>
      </c>
      <c r="T610">
        <v>1</v>
      </c>
      <c r="U610" t="s">
        <v>61</v>
      </c>
      <c r="V610" t="s">
        <v>70</v>
      </c>
      <c r="W610">
        <v>0</v>
      </c>
      <c r="X610">
        <v>0</v>
      </c>
      <c r="Y610">
        <v>16</v>
      </c>
      <c r="Z610">
        <v>16</v>
      </c>
      <c r="AA610">
        <v>20</v>
      </c>
      <c r="AB610">
        <v>3500</v>
      </c>
      <c r="AC610">
        <v>3352</v>
      </c>
      <c r="AD610">
        <v>1897</v>
      </c>
      <c r="AE610">
        <v>0</v>
      </c>
      <c r="AF610">
        <v>0</v>
      </c>
      <c r="AG610">
        <v>1455</v>
      </c>
      <c r="AH610">
        <v>442</v>
      </c>
      <c r="AI610">
        <v>588</v>
      </c>
      <c r="AJ610">
        <v>0</v>
      </c>
      <c r="AK610">
        <v>0</v>
      </c>
      <c r="AL610">
        <v>611</v>
      </c>
      <c r="AM610">
        <v>0</v>
      </c>
      <c r="AN610">
        <v>132</v>
      </c>
      <c r="AO610">
        <v>279</v>
      </c>
      <c r="AP610">
        <v>12</v>
      </c>
      <c r="AQ610">
        <v>0</v>
      </c>
      <c r="AR610">
        <v>0</v>
      </c>
      <c r="AS610" t="s">
        <v>59</v>
      </c>
      <c r="AT610">
        <v>1</v>
      </c>
      <c r="AU610" t="s">
        <v>63</v>
      </c>
      <c r="AV610" t="s">
        <v>65</v>
      </c>
      <c r="AW610">
        <v>1</v>
      </c>
      <c r="AX610">
        <v>3</v>
      </c>
      <c r="AY610">
        <v>0</v>
      </c>
      <c r="AZ610">
        <v>0</v>
      </c>
      <c r="BA610">
        <v>100</v>
      </c>
      <c r="BB610">
        <v>100</v>
      </c>
      <c r="BC610">
        <v>100</v>
      </c>
      <c r="BD610">
        <v>100</v>
      </c>
      <c r="BE610">
        <v>1</v>
      </c>
      <c r="BF610">
        <v>15000</v>
      </c>
      <c r="BG610">
        <v>1000</v>
      </c>
      <c r="BH610" s="8">
        <f>Granger_Inventory[[#This Row],[land_extract]]*Lookups!$B$3</f>
        <v>45702.671092696495</v>
      </c>
      <c r="BI610" s="8">
        <f>IF(Granger_Inventory[[#This Row],[bldg_style]]="",0,Lookups!$B$2)</f>
        <v>29703.559000000001</v>
      </c>
      <c r="BJ610" s="8">
        <f>_xlfn.IFNA(VLOOKUP(Granger_Inventory[[#This Row],[quality]],Lookups!$H$2:$J$14,3,FALSE),0)</f>
        <v>71767</v>
      </c>
      <c r="BK610" s="8">
        <f>_xlfn.IFNA(VLOOKUP(Granger_Inventory[[#This Row],[condition]],Lookups!$H$17:$J$24,3,FALSE),0)</f>
        <v>80695</v>
      </c>
      <c r="BL610" s="8">
        <f>Granger_Inventory[[#This Row],[Age]]*Lookups!$B$16</f>
        <v>-3317.2975999999999</v>
      </c>
      <c r="BM610" s="8">
        <f>Granger_Inventory[[#This Row],[living_area]]*Lookups!$B$17</f>
        <v>225498.79096799999</v>
      </c>
      <c r="BN610" s="8">
        <f>(Granger_Inventory[[#This Row],[att_gar]]+Granger_Inventory[[#This Row],[blt_gar]])*Lookups!$B$18</f>
        <v>28487.180568</v>
      </c>
      <c r="BO610" s="8">
        <f>Granger_Inventory[[#This Row],[Patio]]*Lookups!$B$19</f>
        <v>0</v>
      </c>
      <c r="BP610" s="8">
        <f>SUM(Granger_Inventory[[#This Row],[Intercept]:[Patio_Value]])*Granger_Inventory[[#This Row],[res_pct]]</f>
        <v>432834.23293600004</v>
      </c>
      <c r="BQ610" s="8">
        <f>Granger_Inventory[[#This Row],[land_value]]</f>
        <v>45702.671092696495</v>
      </c>
      <c r="BR610" s="4">
        <f>_xlfn.IFNA(VLOOKUP(Granger_Inventory[[#This Row],[quality]],Lookups!$A$25:$C$35,3,FALSE),1)</f>
        <v>0.992092799099482</v>
      </c>
      <c r="BS610" s="4">
        <f>_xlfn.IFNA(VLOOKUP(Granger_Inventory[[#This Row],[condition]],Lookups!$A$38:$C$45,3,FALSE),1)</f>
        <v>0.99484195314749324</v>
      </c>
      <c r="BT610" s="4">
        <f>IF(Granger_Inventory[[#This Row],[decade]]="",1,_xlfn.IFNA(VLOOKUP(Granger_Inventory[[#This Row],[decade]],Lookups!$G$28:$I$42,3,FALSE),1))</f>
        <v>1.0159161060824455</v>
      </c>
      <c r="BU610" s="4">
        <f>_xlfn.IFNA(VLOOKUP(Granger_Inventory[[#This Row],[living_area_range]],Lookups!$A$48:$C$57,3,FALSE),1)</f>
        <v>0.99995754169072248</v>
      </c>
      <c r="BV610" s="4">
        <f>AVERAGE(Granger_Inventory[[#This Row],[qual_adj]:[living_range_adj]])</f>
        <v>1.0007021000050358</v>
      </c>
      <c r="BW610" s="8">
        <f>(Granger_Inventory[[#This Row],[sum_land]]-IF(Granger_Inventory[[#This Row],[no_utilities]]=1,12000,0))/IF(Granger_Inventory[[#This Row],[unbuildable]]=1,2,1)</f>
        <v>45702.671092696495</v>
      </c>
      <c r="BX610" s="8">
        <f>Granger_Inventory[[#This Row],[pre_res]]*Granger_Inventory[[#This Row],[overall_adj]]</f>
        <v>433138.12585312407</v>
      </c>
      <c r="BY610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610">
        <f>ROUND(Granger_Inventory[[#This Row],[detatched_value]]*Lookups!$I$45,-2)</f>
        <v>0</v>
      </c>
      <c r="CA610">
        <f>IF(ROUND(Granger_Inventory[[#This Row],[adj_res]]*Lookups!$I$45,-2)&lt;Granger_Inventory[[#This Row],[min_res]],Granger_Inventory[[#This Row],[min_res]],ROUND(Granger_Inventory[[#This Row],[adj_res]]*Lookups!$I$45,-2))</f>
        <v>411500</v>
      </c>
      <c r="CB610">
        <f>Granger_Inventory[[#This Row],[final_det]]+Granger_Inventory[[#This Row],[final_res]]</f>
        <v>411500</v>
      </c>
      <c r="CC610">
        <f>Granger_Inventory[[#This Row],[final_land]]+Granger_Inventory[[#This Row],[final_imp]]+Granger_Inventory[[#This Row],[crop_value]]</f>
        <v>454900</v>
      </c>
      <c r="CE610" t="str">
        <f t="shared" si="9"/>
        <v>update valuation set market_land =43400, market_bldg=411500, market_total =454900, market_mdno =402, market_date ='9/10/2023' where link_id = (select link_id from parcel where parcel_year = '2024' and parcel_id = '21102234405');</v>
      </c>
    </row>
    <row r="611" spans="1:83" x14ac:dyDescent="0.25">
      <c r="A611">
        <v>21102234406</v>
      </c>
      <c r="B611">
        <v>0.52</v>
      </c>
      <c r="C611">
        <v>22735</v>
      </c>
      <c r="D611" t="s">
        <v>137</v>
      </c>
      <c r="E611" t="s">
        <v>54</v>
      </c>
      <c r="F611" t="s">
        <v>54</v>
      </c>
      <c r="G611">
        <v>3</v>
      </c>
      <c r="H611" t="s">
        <v>55</v>
      </c>
      <c r="I611">
        <v>350600</v>
      </c>
      <c r="J611">
        <v>33700</v>
      </c>
      <c r="K611">
        <v>0.52</v>
      </c>
      <c r="L611">
        <f>IF(Granger_Inventory[[#This Row],[parcel_acres]]-Granger_Inventory[[#This Row],[non_valued_acres]] =0,0,LN(Granger_Inventory[[#This Row],[parcel_acres]]-Granger_Inventory[[#This Row],[non_valued_acres]]))</f>
        <v>-0.65392646740666394</v>
      </c>
      <c r="M611">
        <v>0</v>
      </c>
      <c r="N611">
        <v>0</v>
      </c>
      <c r="O611">
        <v>0</v>
      </c>
      <c r="P611">
        <v>47108.068500000001</v>
      </c>
      <c r="Q611">
        <v>122298</v>
      </c>
      <c r="R611">
        <f>(Granger_Inventory[[#This Row],[ln_acres]]*Granger_Inventory[[#This Row],[coeff]])+Granger_Inventory[[#This Row],[const]]</f>
        <v>91492.787179443854</v>
      </c>
      <c r="S611" t="s">
        <v>59</v>
      </c>
      <c r="T611">
        <v>1</v>
      </c>
      <c r="U611" t="s">
        <v>57</v>
      </c>
      <c r="V611" t="s">
        <v>72</v>
      </c>
      <c r="W611">
        <v>0</v>
      </c>
      <c r="X611">
        <v>0</v>
      </c>
      <c r="Y611">
        <v>24</v>
      </c>
      <c r="Z611">
        <v>24</v>
      </c>
      <c r="AA611">
        <v>30</v>
      </c>
      <c r="AB611">
        <v>2500</v>
      </c>
      <c r="AC611">
        <v>2142</v>
      </c>
      <c r="AD611">
        <v>1076</v>
      </c>
      <c r="AE611">
        <v>0</v>
      </c>
      <c r="AF611">
        <v>0</v>
      </c>
      <c r="AG611">
        <v>1066</v>
      </c>
      <c r="AH611">
        <v>0</v>
      </c>
      <c r="AI611">
        <v>624</v>
      </c>
      <c r="AJ611">
        <v>0</v>
      </c>
      <c r="AK611">
        <v>0</v>
      </c>
      <c r="AL611">
        <v>602</v>
      </c>
      <c r="AM611">
        <v>797</v>
      </c>
      <c r="AN611">
        <v>62</v>
      </c>
      <c r="AO611">
        <v>0</v>
      </c>
      <c r="AP611">
        <v>10</v>
      </c>
      <c r="AQ611">
        <v>0</v>
      </c>
      <c r="AR611">
        <v>0</v>
      </c>
      <c r="AS611" t="s">
        <v>59</v>
      </c>
      <c r="AT611">
        <v>1</v>
      </c>
      <c r="AU611" t="s">
        <v>63</v>
      </c>
      <c r="AV611" t="s">
        <v>61</v>
      </c>
      <c r="AW611">
        <v>1</v>
      </c>
      <c r="AX611">
        <v>3</v>
      </c>
      <c r="AY611">
        <v>0</v>
      </c>
      <c r="AZ611">
        <v>0</v>
      </c>
      <c r="BA611">
        <v>100</v>
      </c>
      <c r="BB611">
        <v>100</v>
      </c>
      <c r="BC611">
        <v>100</v>
      </c>
      <c r="BD611">
        <v>100</v>
      </c>
      <c r="BE611">
        <v>1</v>
      </c>
      <c r="BF611">
        <v>15000</v>
      </c>
      <c r="BG611">
        <v>1000</v>
      </c>
      <c r="BH611" s="8">
        <f>Granger_Inventory[[#This Row],[land_extract]]*Lookups!$B$3</f>
        <v>54505.071300639829</v>
      </c>
      <c r="BI611" s="8">
        <f>IF(Granger_Inventory[[#This Row],[bldg_style]]="",0,Lookups!$B$2)</f>
        <v>29703.559000000001</v>
      </c>
      <c r="BJ611" s="8">
        <f>_xlfn.IFNA(VLOOKUP(Granger_Inventory[[#This Row],[quality]],Lookups!$H$2:$J$14,3,FALSE),0)</f>
        <v>56414</v>
      </c>
      <c r="BK611" s="8">
        <f>_xlfn.IFNA(VLOOKUP(Granger_Inventory[[#This Row],[condition]],Lookups!$H$17:$J$24,3,FALSE),0)</f>
        <v>94106</v>
      </c>
      <c r="BL611" s="8">
        <f>Granger_Inventory[[#This Row],[Age]]*Lookups!$B$16</f>
        <v>-4975.9463999999998</v>
      </c>
      <c r="BM611" s="8">
        <f>Granger_Inventory[[#This Row],[living_area]]*Lookups!$B$17</f>
        <v>144098.57107800001</v>
      </c>
      <c r="BN611" s="8">
        <f>(Granger_Inventory[[#This Row],[att_gar]]+Granger_Inventory[[#This Row],[blt_gar]])*Lookups!$B$18</f>
        <v>30231.293664000001</v>
      </c>
      <c r="BO611" s="8">
        <f>Granger_Inventory[[#This Row],[Patio]]*Lookups!$B$19</f>
        <v>43289.131512</v>
      </c>
      <c r="BP611" s="8">
        <f>SUM(Granger_Inventory[[#This Row],[Intercept]:[Patio_Value]])*Granger_Inventory[[#This Row],[res_pct]]</f>
        <v>392866.60885399999</v>
      </c>
      <c r="BQ611" s="8">
        <f>Granger_Inventory[[#This Row],[land_value]]</f>
        <v>54505.071300639829</v>
      </c>
      <c r="BR611" s="4">
        <f>_xlfn.IFNA(VLOOKUP(Granger_Inventory[[#This Row],[quality]],Lookups!$A$25:$C$35,3,FALSE),1)</f>
        <v>0.98791809110152173</v>
      </c>
      <c r="BS611" s="4">
        <f>_xlfn.IFNA(VLOOKUP(Granger_Inventory[[#This Row],[condition]],Lookups!$A$38:$C$45,3,FALSE),1)</f>
        <v>0.98658583151544277</v>
      </c>
      <c r="BT611" s="4">
        <f>IF(Granger_Inventory[[#This Row],[decade]]="",1,_xlfn.IFNA(VLOOKUP(Granger_Inventory[[#This Row],[decade]],Lookups!$G$28:$I$42,3,FALSE),1))</f>
        <v>1.0539470644652671</v>
      </c>
      <c r="BU611" s="4">
        <f>_xlfn.IFNA(VLOOKUP(Granger_Inventory[[#This Row],[living_area_range]],Lookups!$A$48:$C$57,3,FALSE),1)</f>
        <v>1.0000039906678986</v>
      </c>
      <c r="BV611" s="4">
        <f>AVERAGE(Granger_Inventory[[#This Row],[qual_adj]:[living_range_adj]])</f>
        <v>1.0071137444375324</v>
      </c>
      <c r="BW611" s="8">
        <f>(Granger_Inventory[[#This Row],[sum_land]]-IF(Granger_Inventory[[#This Row],[no_utilities]]=1,12000,0))/IF(Granger_Inventory[[#This Row],[unbuildable]]=1,2,1)</f>
        <v>54505.071300639829</v>
      </c>
      <c r="BX611" s="8">
        <f>Granger_Inventory[[#This Row],[pre_res]]*Granger_Inventory[[#This Row],[overall_adj]]</f>
        <v>395661.36150742735</v>
      </c>
      <c r="BY611">
        <f>IF(ROUND(Granger_Inventory[[#This Row],[adj_land]]*Lookups!$I$45,-2)&lt;Granger_Inventory[[#This Row],[min_land]],Granger_Inventory[[#This Row],[min_land]],ROUND(Granger_Inventory[[#This Row],[adj_land]]*Lookups!$I$45,-2))</f>
        <v>51800</v>
      </c>
      <c r="BZ611">
        <f>ROUND(Granger_Inventory[[#This Row],[detatched_value]]*Lookups!$I$45,-2)</f>
        <v>0</v>
      </c>
      <c r="CA611">
        <f>IF(ROUND(Granger_Inventory[[#This Row],[adj_res]]*Lookups!$I$45,-2)&lt;Granger_Inventory[[#This Row],[min_res]],Granger_Inventory[[#This Row],[min_res]],ROUND(Granger_Inventory[[#This Row],[adj_res]]*Lookups!$I$45,-2))</f>
        <v>375900</v>
      </c>
      <c r="CB611">
        <f>Granger_Inventory[[#This Row],[final_det]]+Granger_Inventory[[#This Row],[final_res]]</f>
        <v>375900</v>
      </c>
      <c r="CC611">
        <f>Granger_Inventory[[#This Row],[final_land]]+Granger_Inventory[[#This Row],[final_imp]]+Granger_Inventory[[#This Row],[crop_value]]</f>
        <v>427700</v>
      </c>
      <c r="CE611" t="str">
        <f t="shared" si="9"/>
        <v>update valuation set market_land =51800, market_bldg=375900, market_total =427700, market_mdno =402, market_date ='9/10/2023' where link_id = (select link_id from parcel where parcel_year = '2024' and parcel_id = '21102234406');</v>
      </c>
    </row>
    <row r="612" spans="1:83" x14ac:dyDescent="0.25">
      <c r="A612">
        <v>21102234407</v>
      </c>
      <c r="B612">
        <v>0.42</v>
      </c>
      <c r="C612">
        <v>18240</v>
      </c>
      <c r="D612" t="s">
        <v>137</v>
      </c>
      <c r="E612" t="s">
        <v>54</v>
      </c>
      <c r="F612" t="s">
        <v>54</v>
      </c>
      <c r="G612">
        <v>3</v>
      </c>
      <c r="H612" t="s">
        <v>55</v>
      </c>
      <c r="I612">
        <v>522100</v>
      </c>
      <c r="J612">
        <v>32400</v>
      </c>
      <c r="K612">
        <v>0.42</v>
      </c>
      <c r="L612">
        <f>IF(Granger_Inventory[[#This Row],[parcel_acres]]-Granger_Inventory[[#This Row],[non_valued_acres]] =0,0,LN(Granger_Inventory[[#This Row],[parcel_acres]]-Granger_Inventory[[#This Row],[non_valued_acres]]))</f>
        <v>-0.86750056770472306</v>
      </c>
      <c r="M612">
        <v>0</v>
      </c>
      <c r="N612">
        <v>0</v>
      </c>
      <c r="O612">
        <v>0</v>
      </c>
      <c r="P612">
        <v>47108.068500000001</v>
      </c>
      <c r="Q612">
        <v>122298</v>
      </c>
      <c r="R612">
        <f>(Granger_Inventory[[#This Row],[ln_acres]]*Granger_Inventory[[#This Row],[coeff]])+Granger_Inventory[[#This Row],[const]]</f>
        <v>81431.723832777017</v>
      </c>
      <c r="S612" t="s">
        <v>59</v>
      </c>
      <c r="T612">
        <v>1</v>
      </c>
      <c r="U612" t="s">
        <v>74</v>
      </c>
      <c r="V612" t="s">
        <v>58</v>
      </c>
      <c r="W612">
        <v>30700</v>
      </c>
      <c r="X612">
        <v>0</v>
      </c>
      <c r="Y612">
        <v>10</v>
      </c>
      <c r="Z612">
        <v>10</v>
      </c>
      <c r="AA612">
        <v>10</v>
      </c>
      <c r="AB612">
        <v>4000</v>
      </c>
      <c r="AC612">
        <v>3760</v>
      </c>
      <c r="AD612">
        <v>1880</v>
      </c>
      <c r="AE612">
        <v>0</v>
      </c>
      <c r="AF612">
        <v>0</v>
      </c>
      <c r="AG612">
        <v>1880</v>
      </c>
      <c r="AH612">
        <v>0</v>
      </c>
      <c r="AI612">
        <v>782</v>
      </c>
      <c r="AJ612">
        <v>0</v>
      </c>
      <c r="AK612">
        <v>0</v>
      </c>
      <c r="AL612">
        <v>0</v>
      </c>
      <c r="AM612">
        <v>0</v>
      </c>
      <c r="AN612">
        <v>340</v>
      </c>
      <c r="AO612">
        <v>0</v>
      </c>
      <c r="AP612">
        <v>14</v>
      </c>
      <c r="AQ612">
        <v>0</v>
      </c>
      <c r="AR612">
        <v>0</v>
      </c>
      <c r="AS612" t="s">
        <v>138</v>
      </c>
      <c r="AT612">
        <v>1</v>
      </c>
      <c r="AU612" t="s">
        <v>60</v>
      </c>
      <c r="AV612" t="s">
        <v>65</v>
      </c>
      <c r="AW612">
        <v>1</v>
      </c>
      <c r="AX612">
        <v>3</v>
      </c>
      <c r="AY612">
        <v>0</v>
      </c>
      <c r="AZ612">
        <v>0</v>
      </c>
      <c r="BA612">
        <v>100</v>
      </c>
      <c r="BB612">
        <v>100</v>
      </c>
      <c r="BC612">
        <v>100</v>
      </c>
      <c r="BD612">
        <v>100</v>
      </c>
      <c r="BE612">
        <v>1</v>
      </c>
      <c r="BF612">
        <v>15000</v>
      </c>
      <c r="BG612">
        <v>1000</v>
      </c>
      <c r="BH612" s="8">
        <f>Granger_Inventory[[#This Row],[land_extract]]*Lookups!$B$3</f>
        <v>48511.385984279317</v>
      </c>
      <c r="BI612" s="8">
        <f>IF(Granger_Inventory[[#This Row],[bldg_style]]="",0,Lookups!$B$2)</f>
        <v>29703.559000000001</v>
      </c>
      <c r="BJ612" s="8">
        <f>_xlfn.IFNA(VLOOKUP(Granger_Inventory[[#This Row],[quality]],Lookups!$H$2:$J$14,3,FALSE),0)</f>
        <v>94366</v>
      </c>
      <c r="BK612" s="8">
        <f>_xlfn.IFNA(VLOOKUP(Granger_Inventory[[#This Row],[condition]],Lookups!$H$17:$J$24,3,FALSE),0)</f>
        <v>101774</v>
      </c>
      <c r="BL612" s="8">
        <f>Granger_Inventory[[#This Row],[Age]]*Lookups!$B$16</f>
        <v>-2073.3109999999997</v>
      </c>
      <c r="BM612" s="8">
        <f>Granger_Inventory[[#This Row],[living_area]]*Lookups!$B$17</f>
        <v>252946.13783999998</v>
      </c>
      <c r="BN612" s="8">
        <f>(Granger_Inventory[[#This Row],[att_gar]]+Granger_Inventory[[#This Row],[blt_gar]])*Lookups!$B$18</f>
        <v>37886.012252</v>
      </c>
      <c r="BO612" s="8">
        <f>Granger_Inventory[[#This Row],[Patio]]*Lookups!$B$19</f>
        <v>0</v>
      </c>
      <c r="BP612" s="8">
        <f>SUM(Granger_Inventory[[#This Row],[Intercept]:[Patio_Value]])*Granger_Inventory[[#This Row],[res_pct]]</f>
        <v>514602.39809199999</v>
      </c>
      <c r="BQ612" s="8">
        <f>Granger_Inventory[[#This Row],[land_value]]</f>
        <v>48511.385984279317</v>
      </c>
      <c r="BR612" s="4">
        <f>_xlfn.IFNA(VLOOKUP(Granger_Inventory[[#This Row],[quality]],Lookups!$A$25:$C$35,3,FALSE),1)</f>
        <v>0.99995754169072248</v>
      </c>
      <c r="BS612" s="4">
        <f>_xlfn.IFNA(VLOOKUP(Granger_Inventory[[#This Row],[condition]],Lookups!$A$38:$C$45,3,FALSE),1)</f>
        <v>0.99135053432734199</v>
      </c>
      <c r="BT612" s="4">
        <f>IF(Granger_Inventory[[#This Row],[decade]]="",1,_xlfn.IFNA(VLOOKUP(Granger_Inventory[[#This Row],[decade]],Lookups!$G$28:$I$42,3,FALSE),1))</f>
        <v>0.95532362136731586</v>
      </c>
      <c r="BU612" s="4">
        <f>_xlfn.IFNA(VLOOKUP(Granger_Inventory[[#This Row],[living_area_range]],Lookups!$A$48:$C$57,3,FALSE),1)</f>
        <v>0.99995754169072248</v>
      </c>
      <c r="BV612" s="4">
        <f>AVERAGE(Granger_Inventory[[#This Row],[qual_adj]:[living_range_adj]])</f>
        <v>0.98664730976902559</v>
      </c>
      <c r="BW612" s="8">
        <f>(Granger_Inventory[[#This Row],[sum_land]]-IF(Granger_Inventory[[#This Row],[no_utilities]]=1,12000,0))/IF(Granger_Inventory[[#This Row],[unbuildable]]=1,2,1)</f>
        <v>48511.385984279317</v>
      </c>
      <c r="BX612" s="8">
        <f>Granger_Inventory[[#This Row],[pre_res]]*Granger_Inventory[[#This Row],[overall_adj]]</f>
        <v>507731.07167816092</v>
      </c>
      <c r="BY612">
        <f>IF(ROUND(Granger_Inventory[[#This Row],[adj_land]]*Lookups!$I$45,-2)&lt;Granger_Inventory[[#This Row],[min_land]],Granger_Inventory[[#This Row],[min_land]],ROUND(Granger_Inventory[[#This Row],[adj_land]]*Lookups!$I$45,-2))</f>
        <v>46100</v>
      </c>
      <c r="BZ612">
        <f>ROUND(Granger_Inventory[[#This Row],[detatched_value]]*Lookups!$I$45,-2)</f>
        <v>0</v>
      </c>
      <c r="CA612">
        <f>IF(ROUND(Granger_Inventory[[#This Row],[adj_res]]*Lookups!$I$45,-2)&lt;Granger_Inventory[[#This Row],[min_res]],Granger_Inventory[[#This Row],[min_res]],ROUND(Granger_Inventory[[#This Row],[adj_res]]*Lookups!$I$45,-2))</f>
        <v>482300</v>
      </c>
      <c r="CB612">
        <f>Granger_Inventory[[#This Row],[final_det]]+Granger_Inventory[[#This Row],[final_res]]</f>
        <v>482300</v>
      </c>
      <c r="CC612">
        <f>Granger_Inventory[[#This Row],[final_land]]+Granger_Inventory[[#This Row],[final_imp]]+Granger_Inventory[[#This Row],[crop_value]]</f>
        <v>528400</v>
      </c>
      <c r="CE612" t="str">
        <f t="shared" ref="CE612:CE641" si="10">"update valuation set market_land ="&amp;BY612&amp;", market_bldg="&amp;CB612&amp;", market_total ="&amp;CC612&amp;", market_mdno ="&amp;$CE$1&amp;", market_date ='"&amp;TEXT($CF$1,"m/d/yyyy")&amp;"' where link_id = (select link_id from parcel where parcel_year = '2024' and parcel_id = '"&amp;A612&amp;"');"</f>
        <v>update valuation set market_land =46100, market_bldg=482300, market_total =528400, market_mdno =402, market_date ='9/10/2023' where link_id = (select link_id from parcel where parcel_year = '2024' and parcel_id = '21102234407');</v>
      </c>
    </row>
    <row r="613" spans="1:83" x14ac:dyDescent="0.25">
      <c r="A613">
        <v>21102234408</v>
      </c>
      <c r="B613">
        <v>2.21</v>
      </c>
      <c r="C613">
        <v>98010</v>
      </c>
      <c r="D613">
        <v>0</v>
      </c>
      <c r="E613" t="s">
        <v>54</v>
      </c>
      <c r="F613" t="s">
        <v>54</v>
      </c>
      <c r="G613">
        <v>3</v>
      </c>
      <c r="H613" t="s">
        <v>55</v>
      </c>
      <c r="I613">
        <v>517800</v>
      </c>
      <c r="J613">
        <v>42400</v>
      </c>
      <c r="K613">
        <v>2.21</v>
      </c>
      <c r="L613">
        <f>IF(Granger_Inventory[[#This Row],[parcel_acres]]-Granger_Inventory[[#This Row],[non_valued_acres]] =0,0,LN(Granger_Inventory[[#This Row],[parcel_acres]]-Granger_Inventory[[#This Row],[non_valued_acres]]))</f>
        <v>0.79299251552966143</v>
      </c>
      <c r="M613">
        <v>0</v>
      </c>
      <c r="N613">
        <v>0</v>
      </c>
      <c r="O613">
        <v>0</v>
      </c>
      <c r="P613">
        <v>47108.068500000001</v>
      </c>
      <c r="Q613">
        <v>122298</v>
      </c>
      <c r="R613">
        <f>(Granger_Inventory[[#This Row],[ln_acres]]*Granger_Inventory[[#This Row],[coeff]])+Granger_Inventory[[#This Row],[const]]</f>
        <v>159654.34574155862</v>
      </c>
      <c r="S613" t="s">
        <v>59</v>
      </c>
      <c r="T613">
        <v>1</v>
      </c>
      <c r="U613" t="s">
        <v>74</v>
      </c>
      <c r="V613" t="s">
        <v>58</v>
      </c>
      <c r="W613">
        <v>30700</v>
      </c>
      <c r="X613">
        <v>0</v>
      </c>
      <c r="Y613">
        <v>13</v>
      </c>
      <c r="Z613">
        <v>13</v>
      </c>
      <c r="AA613">
        <v>20</v>
      </c>
      <c r="AB613">
        <v>3500</v>
      </c>
      <c r="AC613">
        <v>3255</v>
      </c>
      <c r="AD613">
        <v>1649</v>
      </c>
      <c r="AE613">
        <v>0</v>
      </c>
      <c r="AF613">
        <v>0</v>
      </c>
      <c r="AG613">
        <v>1606</v>
      </c>
      <c r="AH613">
        <v>0</v>
      </c>
      <c r="AI613">
        <v>933</v>
      </c>
      <c r="AJ613">
        <v>0</v>
      </c>
      <c r="AK613">
        <v>0</v>
      </c>
      <c r="AL613">
        <v>340</v>
      </c>
      <c r="AM613">
        <v>749</v>
      </c>
      <c r="AN613">
        <v>392</v>
      </c>
      <c r="AO613">
        <v>0</v>
      </c>
      <c r="AP613">
        <v>14</v>
      </c>
      <c r="AQ613">
        <v>0</v>
      </c>
      <c r="AR613">
        <v>0</v>
      </c>
      <c r="AS613" t="s">
        <v>59</v>
      </c>
      <c r="AT613">
        <v>1</v>
      </c>
      <c r="AU613" t="s">
        <v>60</v>
      </c>
      <c r="AV613" t="s">
        <v>65</v>
      </c>
      <c r="AW613">
        <v>1</v>
      </c>
      <c r="AX613">
        <v>4</v>
      </c>
      <c r="AY613">
        <v>0</v>
      </c>
      <c r="AZ613">
        <v>0</v>
      </c>
      <c r="BA613">
        <v>100</v>
      </c>
      <c r="BB613">
        <v>100</v>
      </c>
      <c r="BC613">
        <v>100</v>
      </c>
      <c r="BD613">
        <v>100</v>
      </c>
      <c r="BE613">
        <v>1</v>
      </c>
      <c r="BF613">
        <v>15000</v>
      </c>
      <c r="BG613">
        <v>1000</v>
      </c>
      <c r="BH613" s="8">
        <f>Granger_Inventory[[#This Row],[land_extract]]*Lookups!$B$3</f>
        <v>95111.011112095308</v>
      </c>
      <c r="BI613" s="8">
        <f>IF(Granger_Inventory[[#This Row],[bldg_style]]="",0,Lookups!$B$2)</f>
        <v>29703.559000000001</v>
      </c>
      <c r="BJ613" s="8">
        <f>_xlfn.IFNA(VLOOKUP(Granger_Inventory[[#This Row],[quality]],Lookups!$H$2:$J$14,3,FALSE),0)</f>
        <v>94366</v>
      </c>
      <c r="BK613" s="8">
        <f>_xlfn.IFNA(VLOOKUP(Granger_Inventory[[#This Row],[condition]],Lookups!$H$17:$J$24,3,FALSE),0)</f>
        <v>101774</v>
      </c>
      <c r="BL613" s="8">
        <f>Granger_Inventory[[#This Row],[Age]]*Lookups!$B$16</f>
        <v>-2695.3042999999998</v>
      </c>
      <c r="BM613" s="8">
        <f>Granger_Inventory[[#This Row],[living_area]]*Lookups!$B$17</f>
        <v>218973.318795</v>
      </c>
      <c r="BN613" s="8">
        <f>(Granger_Inventory[[#This Row],[att_gar]]+Granger_Inventory[[#This Row],[blt_gar]])*Lookups!$B$18</f>
        <v>45201.597738000004</v>
      </c>
      <c r="BO613" s="8">
        <f>Granger_Inventory[[#This Row],[Patio]]*Lookups!$B$19</f>
        <v>40682.006903999994</v>
      </c>
      <c r="BP613" s="8">
        <f>SUM(Granger_Inventory[[#This Row],[Intercept]:[Patio_Value]])*Granger_Inventory[[#This Row],[res_pct]]</f>
        <v>528005.17813699995</v>
      </c>
      <c r="BQ613" s="8">
        <f>Granger_Inventory[[#This Row],[land_value]]</f>
        <v>95111.011112095308</v>
      </c>
      <c r="BR613" s="4">
        <f>_xlfn.IFNA(VLOOKUP(Granger_Inventory[[#This Row],[quality]],Lookups!$A$25:$C$35,3,FALSE),1)</f>
        <v>0.99995754169072248</v>
      </c>
      <c r="BS613" s="4">
        <f>_xlfn.IFNA(VLOOKUP(Granger_Inventory[[#This Row],[condition]],Lookups!$A$38:$C$45,3,FALSE),1)</f>
        <v>0.99135053432734199</v>
      </c>
      <c r="BT613" s="4">
        <f>IF(Granger_Inventory[[#This Row],[decade]]="",1,_xlfn.IFNA(VLOOKUP(Granger_Inventory[[#This Row],[decade]],Lookups!$G$28:$I$42,3,FALSE),1))</f>
        <v>1.0159161060824455</v>
      </c>
      <c r="BU613" s="4">
        <f>_xlfn.IFNA(VLOOKUP(Granger_Inventory[[#This Row],[living_area_range]],Lookups!$A$48:$C$57,3,FALSE),1)</f>
        <v>0.99995754169072248</v>
      </c>
      <c r="BV613" s="4">
        <f>AVERAGE(Granger_Inventory[[#This Row],[qual_adj]:[living_range_adj]])</f>
        <v>1.0017954309478081</v>
      </c>
      <c r="BW613" s="8">
        <f>(Granger_Inventory[[#This Row],[sum_land]]-IF(Granger_Inventory[[#This Row],[no_utilities]]=1,12000,0))/IF(Granger_Inventory[[#This Row],[unbuildable]]=1,2,1)</f>
        <v>95111.011112095308</v>
      </c>
      <c r="BX613" s="8">
        <f>Granger_Inventory[[#This Row],[pre_res]]*Granger_Inventory[[#This Row],[overall_adj]]</f>
        <v>528953.17497443</v>
      </c>
      <c r="BY613">
        <f>IF(ROUND(Granger_Inventory[[#This Row],[adj_land]]*Lookups!$I$45,-2)&lt;Granger_Inventory[[#This Row],[min_land]],Granger_Inventory[[#This Row],[min_land]],ROUND(Granger_Inventory[[#This Row],[adj_land]]*Lookups!$I$45,-2))</f>
        <v>90400</v>
      </c>
      <c r="BZ613">
        <f>ROUND(Granger_Inventory[[#This Row],[detatched_value]]*Lookups!$I$45,-2)</f>
        <v>0</v>
      </c>
      <c r="CA613">
        <f>IF(ROUND(Granger_Inventory[[#This Row],[adj_res]]*Lookups!$I$45,-2)&lt;Granger_Inventory[[#This Row],[min_res]],Granger_Inventory[[#This Row],[min_res]],ROUND(Granger_Inventory[[#This Row],[adj_res]]*Lookups!$I$45,-2))</f>
        <v>502500</v>
      </c>
      <c r="CB613">
        <f>Granger_Inventory[[#This Row],[final_det]]+Granger_Inventory[[#This Row],[final_res]]</f>
        <v>502500</v>
      </c>
      <c r="CC613">
        <f>Granger_Inventory[[#This Row],[final_land]]+Granger_Inventory[[#This Row],[final_imp]]+Granger_Inventory[[#This Row],[crop_value]]</f>
        <v>592900</v>
      </c>
      <c r="CE613" t="str">
        <f t="shared" si="10"/>
        <v>update valuation set market_land =90400, market_bldg=502500, market_total =592900, market_mdno =402, market_date ='9/10/2023' where link_id = (select link_id from parcel where parcel_year = '2024' and parcel_id = '21102234408');</v>
      </c>
    </row>
    <row r="614" spans="1:83" x14ac:dyDescent="0.25">
      <c r="A614">
        <v>21102242006</v>
      </c>
      <c r="B614">
        <v>4.4400000000000004</v>
      </c>
      <c r="C614">
        <v>193406</v>
      </c>
      <c r="D614" t="s">
        <v>137</v>
      </c>
      <c r="E614" t="s">
        <v>54</v>
      </c>
      <c r="F614" t="s">
        <v>54</v>
      </c>
      <c r="G614">
        <v>3</v>
      </c>
      <c r="H614" t="s">
        <v>55</v>
      </c>
      <c r="I614">
        <v>193500</v>
      </c>
      <c r="J614">
        <v>46400</v>
      </c>
      <c r="K614">
        <v>4.4400000000000004</v>
      </c>
      <c r="L614">
        <f>IF(Granger_Inventory[[#This Row],[parcel_acres]]-Granger_Inventory[[#This Row],[non_valued_acres]] =0,0,LN(Granger_Inventory[[#This Row],[parcel_acres]]-Granger_Inventory[[#This Row],[non_valued_acres]]))</f>
        <v>1.4906543764441336</v>
      </c>
      <c r="M614">
        <v>0</v>
      </c>
      <c r="N614">
        <v>0</v>
      </c>
      <c r="O614">
        <v>0</v>
      </c>
      <c r="P614">
        <v>47108.068500000001</v>
      </c>
      <c r="Q614">
        <v>122298</v>
      </c>
      <c r="R614">
        <f>(Granger_Inventory[[#This Row],[ln_acres]]*Granger_Inventory[[#This Row],[coeff]])+Granger_Inventory[[#This Row],[const]]</f>
        <v>192519.84847535501</v>
      </c>
      <c r="S614" t="s">
        <v>56</v>
      </c>
      <c r="T614">
        <v>1</v>
      </c>
      <c r="U614" t="s">
        <v>64</v>
      </c>
      <c r="V614" t="s">
        <v>72</v>
      </c>
      <c r="W614">
        <v>0</v>
      </c>
      <c r="X614">
        <v>0</v>
      </c>
      <c r="Y614">
        <v>45</v>
      </c>
      <c r="Z614">
        <v>50</v>
      </c>
      <c r="AA614">
        <v>50</v>
      </c>
      <c r="AB614">
        <v>1500</v>
      </c>
      <c r="AC614">
        <v>1024</v>
      </c>
      <c r="AD614">
        <v>1024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140</v>
      </c>
      <c r="AN614">
        <v>0</v>
      </c>
      <c r="AO614">
        <v>140</v>
      </c>
      <c r="AP614">
        <v>5</v>
      </c>
      <c r="AQ614">
        <v>0</v>
      </c>
      <c r="AR614">
        <v>0</v>
      </c>
      <c r="AS614" t="s">
        <v>59</v>
      </c>
      <c r="AT614">
        <v>1</v>
      </c>
      <c r="AU614" t="s">
        <v>60</v>
      </c>
      <c r="AV614" t="s">
        <v>65</v>
      </c>
      <c r="AW614">
        <v>1</v>
      </c>
      <c r="AX614">
        <v>2</v>
      </c>
      <c r="AY614">
        <v>0</v>
      </c>
      <c r="AZ614">
        <v>65600</v>
      </c>
      <c r="BA614">
        <v>100</v>
      </c>
      <c r="BB614">
        <v>100</v>
      </c>
      <c r="BC614">
        <v>100</v>
      </c>
      <c r="BD614">
        <v>100</v>
      </c>
      <c r="BE614">
        <v>1</v>
      </c>
      <c r="BF614">
        <v>15000</v>
      </c>
      <c r="BG614">
        <v>1000</v>
      </c>
      <c r="BH614" s="8">
        <f>Granger_Inventory[[#This Row],[land_extract]]*Lookups!$B$3</f>
        <v>114690.00334810202</v>
      </c>
      <c r="BI614" s="8">
        <f>IF(Granger_Inventory[[#This Row],[bldg_style]]="",0,Lookups!$B$2)</f>
        <v>29703.559000000001</v>
      </c>
      <c r="BJ614" s="8">
        <f>_xlfn.IFNA(VLOOKUP(Granger_Inventory[[#This Row],[quality]],Lookups!$H$2:$J$14,3,FALSE),0)</f>
        <v>36568</v>
      </c>
      <c r="BK614" s="8">
        <f>_xlfn.IFNA(VLOOKUP(Granger_Inventory[[#This Row],[condition]],Lookups!$H$17:$J$24,3,FALSE),0)</f>
        <v>94106</v>
      </c>
      <c r="BL614" s="8">
        <f>Granger_Inventory[[#This Row],[Age]]*Lookups!$B$16</f>
        <v>-10366.555</v>
      </c>
      <c r="BM614" s="8">
        <f>Granger_Inventory[[#This Row],[living_area]]*Lookups!$B$17</f>
        <v>68887.458815999998</v>
      </c>
      <c r="BN614" s="8">
        <f>(Granger_Inventory[[#This Row],[att_gar]]+Granger_Inventory[[#This Row],[blt_gar]])*Lookups!$B$18</f>
        <v>0</v>
      </c>
      <c r="BO614" s="8">
        <f>Granger_Inventory[[#This Row],[Patio]]*Lookups!$B$19</f>
        <v>7604.1134399999992</v>
      </c>
      <c r="BP614" s="8">
        <f>SUM(Granger_Inventory[[#This Row],[Intercept]:[Patio_Value]])*Granger_Inventory[[#This Row],[res_pct]]</f>
        <v>226502.576256</v>
      </c>
      <c r="BQ614" s="8">
        <f>Granger_Inventory[[#This Row],[land_value]]</f>
        <v>114690.00334810202</v>
      </c>
      <c r="BR614" s="4">
        <f>_xlfn.IFNA(VLOOKUP(Granger_Inventory[[#This Row],[quality]],Lookups!$A$25:$C$35,3,FALSE),1)</f>
        <v>0.99049976351917957</v>
      </c>
      <c r="BS614" s="4">
        <f>_xlfn.IFNA(VLOOKUP(Granger_Inventory[[#This Row],[condition]],Lookups!$A$38:$C$45,3,FALSE),1)</f>
        <v>0.98658583151544277</v>
      </c>
      <c r="BT614" s="4">
        <f>IF(Granger_Inventory[[#This Row],[decade]]="",1,_xlfn.IFNA(VLOOKUP(Granger_Inventory[[#This Row],[decade]],Lookups!$G$28:$I$42,3,FALSE),1))</f>
        <v>1.2441094871772171</v>
      </c>
      <c r="BU614" s="4">
        <f>_xlfn.IFNA(VLOOKUP(Granger_Inventory[[#This Row],[living_area_range]],Lookups!$A$48:$C$57,3,FALSE),1)</f>
        <v>0.97960506760539345</v>
      </c>
      <c r="BV614" s="4">
        <f>AVERAGE(Granger_Inventory[[#This Row],[qual_adj]:[living_range_adj]])</f>
        <v>1.0502000374543081</v>
      </c>
      <c r="BW614" s="8">
        <f>(Granger_Inventory[[#This Row],[sum_land]]-IF(Granger_Inventory[[#This Row],[no_utilities]]=1,12000,0))/IF(Granger_Inventory[[#This Row],[unbuildable]]=1,2,1)</f>
        <v>114690.00334810202</v>
      </c>
      <c r="BX614" s="8">
        <f>Granger_Inventory[[#This Row],[pre_res]]*Granger_Inventory[[#This Row],[overall_adj]]</f>
        <v>237873.01406754847</v>
      </c>
      <c r="BY614">
        <f>IF(ROUND(Granger_Inventory[[#This Row],[adj_land]]*Lookups!$I$45,-2)&lt;Granger_Inventory[[#This Row],[min_land]],Granger_Inventory[[#This Row],[min_land]],ROUND(Granger_Inventory[[#This Row],[adj_land]]*Lookups!$I$45,-2))</f>
        <v>109000</v>
      </c>
      <c r="BZ614">
        <f>ROUND(Granger_Inventory[[#This Row],[detatched_value]]*Lookups!$I$45,-2)</f>
        <v>62300</v>
      </c>
      <c r="CA614">
        <f>IF(ROUND(Granger_Inventory[[#This Row],[adj_res]]*Lookups!$I$45,-2)&lt;Granger_Inventory[[#This Row],[min_res]],Granger_Inventory[[#This Row],[min_res]],ROUND(Granger_Inventory[[#This Row],[adj_res]]*Lookups!$I$45,-2))</f>
        <v>226000</v>
      </c>
      <c r="CB614">
        <f>Granger_Inventory[[#This Row],[final_det]]+Granger_Inventory[[#This Row],[final_res]]</f>
        <v>288300</v>
      </c>
      <c r="CC614">
        <f>Granger_Inventory[[#This Row],[final_land]]+Granger_Inventory[[#This Row],[final_imp]]+Granger_Inventory[[#This Row],[crop_value]]</f>
        <v>397300</v>
      </c>
      <c r="CE614" t="str">
        <f t="shared" si="10"/>
        <v>update valuation set market_land =109000, market_bldg=288300, market_total =397300, market_mdno =402, market_date ='9/10/2023' where link_id = (select link_id from parcel where parcel_year = '2024' and parcel_id = '21102242006');</v>
      </c>
    </row>
    <row r="615" spans="1:83" x14ac:dyDescent="0.25">
      <c r="A615">
        <v>21101531002</v>
      </c>
      <c r="B615">
        <v>12.38</v>
      </c>
      <c r="C615">
        <v>539325</v>
      </c>
      <c r="D615" t="s">
        <v>137</v>
      </c>
      <c r="E615" t="s">
        <v>54</v>
      </c>
      <c r="F615" t="s">
        <v>54</v>
      </c>
      <c r="G615">
        <v>3</v>
      </c>
      <c r="H615" t="s">
        <v>55</v>
      </c>
      <c r="I615">
        <v>10000</v>
      </c>
      <c r="J615">
        <v>101500</v>
      </c>
      <c r="K615">
        <v>12.38</v>
      </c>
      <c r="L615">
        <f>IF(Granger_Inventory[[#This Row],[parcel_acres]]-Granger_Inventory[[#This Row],[non_valued_acres]] =0,0,LN(Granger_Inventory[[#This Row],[parcel_acres]]-Granger_Inventory[[#This Row],[non_valued_acres]]))</f>
        <v>2.5160822672564502</v>
      </c>
      <c r="M615">
        <v>0</v>
      </c>
      <c r="N615">
        <v>0</v>
      </c>
      <c r="O615">
        <v>0</v>
      </c>
      <c r="P615">
        <v>47108.068500000001</v>
      </c>
      <c r="Q615">
        <v>122298</v>
      </c>
      <c r="R615">
        <f>(Granger_Inventory[[#This Row],[ln_acres]]*Granger_Inventory[[#This Row],[coeff]])+Granger_Inventory[[#This Row],[const]]</f>
        <v>240825.77579755217</v>
      </c>
      <c r="AY615">
        <v>10000</v>
      </c>
      <c r="AZ615">
        <v>0</v>
      </c>
      <c r="BE615">
        <v>0</v>
      </c>
      <c r="BF615">
        <v>15000</v>
      </c>
      <c r="BG615">
        <v>0</v>
      </c>
      <c r="BH615" s="8">
        <f>Granger_Inventory[[#This Row],[land_extract]]*Lookups!$B$3</f>
        <v>143467.33207649639</v>
      </c>
      <c r="BI615" s="8">
        <f>IF(Granger_Inventory[[#This Row],[bldg_style]]="",0,Lookups!$B$2)</f>
        <v>0</v>
      </c>
      <c r="BJ615" s="8">
        <f>_xlfn.IFNA(VLOOKUP(Granger_Inventory[[#This Row],[quality]],Lookups!$H$2:$J$14,3,FALSE),0)</f>
        <v>0</v>
      </c>
      <c r="BK615" s="8">
        <f>_xlfn.IFNA(VLOOKUP(Granger_Inventory[[#This Row],[condition]],Lookups!$H$17:$J$24,3,FALSE),0)</f>
        <v>0</v>
      </c>
      <c r="BL615" s="8">
        <f>Granger_Inventory[[#This Row],[Age]]*Lookups!$B$16</f>
        <v>0</v>
      </c>
      <c r="BM615" s="8">
        <f>Granger_Inventory[[#This Row],[living_area]]*Lookups!$B$17</f>
        <v>0</v>
      </c>
      <c r="BN615" s="8">
        <f>(Granger_Inventory[[#This Row],[att_gar]]+Granger_Inventory[[#This Row],[blt_gar]])*Lookups!$B$18</f>
        <v>0</v>
      </c>
      <c r="BO615" s="8">
        <f>Granger_Inventory[[#This Row],[Patio]]*Lookups!$B$19</f>
        <v>0</v>
      </c>
      <c r="BP615" s="8">
        <f>SUM(Granger_Inventory[[#This Row],[Intercept]:[Patio_Value]])*Granger_Inventory[[#This Row],[res_pct]]</f>
        <v>0</v>
      </c>
      <c r="BQ615" s="8">
        <f>Granger_Inventory[[#This Row],[land_value]]</f>
        <v>143467.33207649639</v>
      </c>
      <c r="BR615" s="4">
        <f>_xlfn.IFNA(VLOOKUP(Granger_Inventory[[#This Row],[quality]],Lookups!$A$25:$C$35,3,FALSE),1)</f>
        <v>1</v>
      </c>
      <c r="BS615" s="4">
        <f>_xlfn.IFNA(VLOOKUP(Granger_Inventory[[#This Row],[condition]],Lookups!$A$38:$C$45,3,FALSE),1)</f>
        <v>1</v>
      </c>
      <c r="BT615" s="4">
        <f>IF(Granger_Inventory[[#This Row],[decade]]="",1,_xlfn.IFNA(VLOOKUP(Granger_Inventory[[#This Row],[decade]],Lookups!$G$28:$I$42,3,FALSE),1))</f>
        <v>1</v>
      </c>
      <c r="BU615" s="4">
        <f>_xlfn.IFNA(VLOOKUP(Granger_Inventory[[#This Row],[living_area_range]],Lookups!$A$48:$C$57,3,FALSE),1)</f>
        <v>1</v>
      </c>
      <c r="BV615" s="4">
        <f>AVERAGE(Granger_Inventory[[#This Row],[qual_adj]:[living_range_adj]])</f>
        <v>1</v>
      </c>
      <c r="BW615" s="8">
        <f>(Granger_Inventory[[#This Row],[sum_land]]-IF(Granger_Inventory[[#This Row],[no_utilities]]=1,12000,0))/IF(Granger_Inventory[[#This Row],[unbuildable]]=1,2,1)</f>
        <v>143467.33207649639</v>
      </c>
      <c r="BX615" s="8">
        <f>Granger_Inventory[[#This Row],[pre_res]]*Granger_Inventory[[#This Row],[overall_adj]]</f>
        <v>0</v>
      </c>
      <c r="BY615">
        <f>IF(ROUND(Granger_Inventory[[#This Row],[adj_land]]*Lookups!$I$45,-2)&lt;Granger_Inventory[[#This Row],[min_land]],Granger_Inventory[[#This Row],[min_land]],ROUND(Granger_Inventory[[#This Row],[adj_land]]*Lookups!$I$45,-2))</f>
        <v>136300</v>
      </c>
      <c r="BZ615">
        <f>ROUND(Granger_Inventory[[#This Row],[detatched_value]]*Lookups!$I$45,-2)</f>
        <v>0</v>
      </c>
      <c r="CA61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15">
        <f>Granger_Inventory[[#This Row],[final_det]]+Granger_Inventory[[#This Row],[final_res]]</f>
        <v>0</v>
      </c>
      <c r="CC615">
        <f>Granger_Inventory[[#This Row],[final_land]]+Granger_Inventory[[#This Row],[final_imp]]+Granger_Inventory[[#This Row],[crop_value]]</f>
        <v>146300</v>
      </c>
      <c r="CE615" t="str">
        <f t="shared" si="10"/>
        <v>update valuation set market_land =136300, market_bldg=0, market_total =146300, market_mdno =402, market_date ='9/10/2023' where link_id = (select link_id from parcel where parcel_year = '2024' and parcel_id = '21101531002');</v>
      </c>
    </row>
    <row r="616" spans="1:83" x14ac:dyDescent="0.25">
      <c r="A616">
        <v>21101531431</v>
      </c>
      <c r="B616">
        <v>0.16</v>
      </c>
      <c r="C616">
        <v>6807</v>
      </c>
      <c r="D616" t="s">
        <v>137</v>
      </c>
      <c r="E616" t="s">
        <v>54</v>
      </c>
      <c r="F616" t="s">
        <v>54</v>
      </c>
      <c r="G616">
        <v>3</v>
      </c>
      <c r="H616" t="s">
        <v>55</v>
      </c>
      <c r="I616">
        <v>0</v>
      </c>
      <c r="J616">
        <v>26200</v>
      </c>
      <c r="K616">
        <v>0.16</v>
      </c>
      <c r="L61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16">
        <v>0</v>
      </c>
      <c r="N616">
        <v>0</v>
      </c>
      <c r="O616">
        <v>0</v>
      </c>
      <c r="P616">
        <v>47108.068500000001</v>
      </c>
      <c r="Q616">
        <v>122298</v>
      </c>
      <c r="R616">
        <f>(Granger_Inventory[[#This Row],[ln_acres]]*Granger_Inventory[[#This Row],[coeff]])+Granger_Inventory[[#This Row],[const]]</f>
        <v>35968.626873914327</v>
      </c>
      <c r="AY616">
        <v>0</v>
      </c>
      <c r="AZ616">
        <v>0</v>
      </c>
      <c r="BE616">
        <v>0</v>
      </c>
      <c r="BF616">
        <v>15000</v>
      </c>
      <c r="BG616">
        <v>0</v>
      </c>
      <c r="BH616" s="8">
        <f>Granger_Inventory[[#This Row],[land_extract]]*Lookups!$B$3</f>
        <v>21427.618862498482</v>
      </c>
      <c r="BI616" s="8">
        <f>IF(Granger_Inventory[[#This Row],[bldg_style]]="",0,Lookups!$B$2)</f>
        <v>0</v>
      </c>
      <c r="BJ616" s="8">
        <f>_xlfn.IFNA(VLOOKUP(Granger_Inventory[[#This Row],[quality]],Lookups!$H$2:$J$14,3,FALSE),0)</f>
        <v>0</v>
      </c>
      <c r="BK616" s="8">
        <f>_xlfn.IFNA(VLOOKUP(Granger_Inventory[[#This Row],[condition]],Lookups!$H$17:$J$24,3,FALSE),0)</f>
        <v>0</v>
      </c>
      <c r="BL616" s="8">
        <f>Granger_Inventory[[#This Row],[Age]]*Lookups!$B$16</f>
        <v>0</v>
      </c>
      <c r="BM616" s="8">
        <f>Granger_Inventory[[#This Row],[living_area]]*Lookups!$B$17</f>
        <v>0</v>
      </c>
      <c r="BN616" s="8">
        <f>(Granger_Inventory[[#This Row],[att_gar]]+Granger_Inventory[[#This Row],[blt_gar]])*Lookups!$B$18</f>
        <v>0</v>
      </c>
      <c r="BO616" s="8">
        <f>Granger_Inventory[[#This Row],[Patio]]*Lookups!$B$19</f>
        <v>0</v>
      </c>
      <c r="BP616" s="8">
        <f>SUM(Granger_Inventory[[#This Row],[Intercept]:[Patio_Value]])*Granger_Inventory[[#This Row],[res_pct]]</f>
        <v>0</v>
      </c>
      <c r="BQ616" s="8">
        <f>Granger_Inventory[[#This Row],[land_value]]</f>
        <v>21427.618862498482</v>
      </c>
      <c r="BR616" s="4">
        <f>_xlfn.IFNA(VLOOKUP(Granger_Inventory[[#This Row],[quality]],Lookups!$A$25:$C$35,3,FALSE),1)</f>
        <v>1</v>
      </c>
      <c r="BS616" s="4">
        <f>_xlfn.IFNA(VLOOKUP(Granger_Inventory[[#This Row],[condition]],Lookups!$A$38:$C$45,3,FALSE),1)</f>
        <v>1</v>
      </c>
      <c r="BT616" s="4">
        <f>IF(Granger_Inventory[[#This Row],[decade]]="",1,_xlfn.IFNA(VLOOKUP(Granger_Inventory[[#This Row],[decade]],Lookups!$G$28:$I$42,3,FALSE),1))</f>
        <v>1</v>
      </c>
      <c r="BU616" s="4">
        <f>_xlfn.IFNA(VLOOKUP(Granger_Inventory[[#This Row],[living_area_range]],Lookups!$A$48:$C$57,3,FALSE),1)</f>
        <v>1</v>
      </c>
      <c r="BV616" s="4">
        <f>AVERAGE(Granger_Inventory[[#This Row],[qual_adj]:[living_range_adj]])</f>
        <v>1</v>
      </c>
      <c r="BW616" s="8">
        <f>(Granger_Inventory[[#This Row],[sum_land]]-IF(Granger_Inventory[[#This Row],[no_utilities]]=1,12000,0))/IF(Granger_Inventory[[#This Row],[unbuildable]]=1,2,1)</f>
        <v>21427.618862498482</v>
      </c>
      <c r="BX616" s="8">
        <f>Granger_Inventory[[#This Row],[pre_res]]*Granger_Inventory[[#This Row],[overall_adj]]</f>
        <v>0</v>
      </c>
      <c r="BY61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16">
        <f>ROUND(Granger_Inventory[[#This Row],[detatched_value]]*Lookups!$I$45,-2)</f>
        <v>0</v>
      </c>
      <c r="CA61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16">
        <f>Granger_Inventory[[#This Row],[final_det]]+Granger_Inventory[[#This Row],[final_res]]</f>
        <v>0</v>
      </c>
      <c r="CC616">
        <f>Granger_Inventory[[#This Row],[final_land]]+Granger_Inventory[[#This Row],[final_imp]]+Granger_Inventory[[#This Row],[crop_value]]</f>
        <v>20400</v>
      </c>
      <c r="CE616" t="str">
        <f t="shared" si="10"/>
        <v>update valuation set market_land =20400, market_bldg=0, market_total =20400, market_mdno =402, market_date ='9/10/2023' where link_id = (select link_id from parcel where parcel_year = '2024' and parcel_id = '21101531431');</v>
      </c>
    </row>
    <row r="617" spans="1:83" x14ac:dyDescent="0.25">
      <c r="A617">
        <v>21101531445</v>
      </c>
      <c r="B617">
        <v>1</v>
      </c>
      <c r="C617" t="s">
        <v>137</v>
      </c>
      <c r="D617" t="s">
        <v>137</v>
      </c>
      <c r="E617" t="s">
        <v>54</v>
      </c>
      <c r="F617" t="s">
        <v>54</v>
      </c>
      <c r="G617">
        <v>3</v>
      </c>
      <c r="H617" t="s">
        <v>55</v>
      </c>
      <c r="I617">
        <v>0</v>
      </c>
      <c r="J617">
        <v>36800</v>
      </c>
      <c r="K617">
        <v>1</v>
      </c>
      <c r="L617">
        <f>IF(Granger_Inventory[[#This Row],[parcel_acres]]-Granger_Inventory[[#This Row],[non_valued_acres]] =0,0,LN(Granger_Inventory[[#This Row],[parcel_acres]]-Granger_Inventory[[#This Row],[non_valued_acres]]))</f>
        <v>0</v>
      </c>
      <c r="M617">
        <v>0</v>
      </c>
      <c r="N617">
        <v>0</v>
      </c>
      <c r="O617">
        <v>0</v>
      </c>
      <c r="P617">
        <v>47108.068500000001</v>
      </c>
      <c r="Q617">
        <v>122298</v>
      </c>
      <c r="R617">
        <f>(Granger_Inventory[[#This Row],[ln_acres]]*Granger_Inventory[[#This Row],[coeff]])+Granger_Inventory[[#This Row],[const]]</f>
        <v>122298</v>
      </c>
      <c r="AY617">
        <v>0</v>
      </c>
      <c r="AZ617">
        <v>0</v>
      </c>
      <c r="BE617">
        <v>0</v>
      </c>
      <c r="BF617">
        <v>15000</v>
      </c>
      <c r="BG617">
        <v>0</v>
      </c>
      <c r="BH617" s="8">
        <f>Granger_Inventory[[#This Row],[land_extract]]*Lookups!$B$3</f>
        <v>72856.685378399998</v>
      </c>
      <c r="BI617" s="8">
        <f>IF(Granger_Inventory[[#This Row],[bldg_style]]="",0,Lookups!$B$2)</f>
        <v>0</v>
      </c>
      <c r="BJ617" s="8">
        <f>_xlfn.IFNA(VLOOKUP(Granger_Inventory[[#This Row],[quality]],Lookups!$H$2:$J$14,3,FALSE),0)</f>
        <v>0</v>
      </c>
      <c r="BK617" s="8">
        <f>_xlfn.IFNA(VLOOKUP(Granger_Inventory[[#This Row],[condition]],Lookups!$H$17:$J$24,3,FALSE),0)</f>
        <v>0</v>
      </c>
      <c r="BL617" s="8">
        <f>Granger_Inventory[[#This Row],[Age]]*Lookups!$B$16</f>
        <v>0</v>
      </c>
      <c r="BM617" s="8">
        <f>Granger_Inventory[[#This Row],[living_area]]*Lookups!$B$17</f>
        <v>0</v>
      </c>
      <c r="BN617" s="8">
        <f>(Granger_Inventory[[#This Row],[att_gar]]+Granger_Inventory[[#This Row],[blt_gar]])*Lookups!$B$18</f>
        <v>0</v>
      </c>
      <c r="BO617" s="8">
        <f>Granger_Inventory[[#This Row],[Patio]]*Lookups!$B$19</f>
        <v>0</v>
      </c>
      <c r="BP617" s="8">
        <f>SUM(Granger_Inventory[[#This Row],[Intercept]:[Patio_Value]])*Granger_Inventory[[#This Row],[res_pct]]</f>
        <v>0</v>
      </c>
      <c r="BQ617" s="8">
        <f>Granger_Inventory[[#This Row],[land_value]]</f>
        <v>72856.685378399998</v>
      </c>
      <c r="BR617" s="4">
        <f>_xlfn.IFNA(VLOOKUP(Granger_Inventory[[#This Row],[quality]],Lookups!$A$25:$C$35,3,FALSE),1)</f>
        <v>1</v>
      </c>
      <c r="BS617" s="4">
        <f>_xlfn.IFNA(VLOOKUP(Granger_Inventory[[#This Row],[condition]],Lookups!$A$38:$C$45,3,FALSE),1)</f>
        <v>1</v>
      </c>
      <c r="BT617" s="4">
        <f>IF(Granger_Inventory[[#This Row],[decade]]="",1,_xlfn.IFNA(VLOOKUP(Granger_Inventory[[#This Row],[decade]],Lookups!$G$28:$I$42,3,FALSE),1))</f>
        <v>1</v>
      </c>
      <c r="BU617" s="4">
        <f>_xlfn.IFNA(VLOOKUP(Granger_Inventory[[#This Row],[living_area_range]],Lookups!$A$48:$C$57,3,FALSE),1)</f>
        <v>1</v>
      </c>
      <c r="BV617" s="4">
        <f>AVERAGE(Granger_Inventory[[#This Row],[qual_adj]:[living_range_adj]])</f>
        <v>1</v>
      </c>
      <c r="BW617" s="8">
        <f>(Granger_Inventory[[#This Row],[sum_land]]-IF(Granger_Inventory[[#This Row],[no_utilities]]=1,12000,0))/IF(Granger_Inventory[[#This Row],[unbuildable]]=1,2,1)</f>
        <v>72856.685378399998</v>
      </c>
      <c r="BX617" s="8">
        <f>Granger_Inventory[[#This Row],[pre_res]]*Granger_Inventory[[#This Row],[overall_adj]]</f>
        <v>0</v>
      </c>
      <c r="BY617">
        <f>IF(ROUND(Granger_Inventory[[#This Row],[adj_land]]*Lookups!$I$45,-2)&lt;Granger_Inventory[[#This Row],[min_land]],Granger_Inventory[[#This Row],[min_land]],ROUND(Granger_Inventory[[#This Row],[adj_land]]*Lookups!$I$45,-2))</f>
        <v>69200</v>
      </c>
      <c r="BZ617">
        <f>ROUND(Granger_Inventory[[#This Row],[detatched_value]]*Lookups!$I$45,-2)</f>
        <v>0</v>
      </c>
      <c r="CA61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17">
        <f>Granger_Inventory[[#This Row],[final_det]]+Granger_Inventory[[#This Row],[final_res]]</f>
        <v>0</v>
      </c>
      <c r="CC617">
        <f>Granger_Inventory[[#This Row],[final_land]]+Granger_Inventory[[#This Row],[final_imp]]+Granger_Inventory[[#This Row],[crop_value]]</f>
        <v>69200</v>
      </c>
      <c r="CE617" t="str">
        <f t="shared" si="10"/>
        <v>update valuation set market_land =69200, market_bldg=0, market_total =69200, market_mdno =402, market_date ='9/10/2023' where link_id = (select link_id from parcel where parcel_year = '2024' and parcel_id = '21101531445');</v>
      </c>
    </row>
    <row r="618" spans="1:83" x14ac:dyDescent="0.25">
      <c r="A618">
        <v>21101532014</v>
      </c>
      <c r="B618">
        <v>0.17</v>
      </c>
      <c r="C618">
        <v>7604</v>
      </c>
      <c r="D618" t="s">
        <v>137</v>
      </c>
      <c r="E618" t="s">
        <v>54</v>
      </c>
      <c r="F618" t="s">
        <v>54</v>
      </c>
      <c r="G618">
        <v>3</v>
      </c>
      <c r="H618" t="s">
        <v>55</v>
      </c>
      <c r="I618">
        <v>0</v>
      </c>
      <c r="J618">
        <v>26500</v>
      </c>
      <c r="K618">
        <v>0.17</v>
      </c>
      <c r="L618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618">
        <v>0</v>
      </c>
      <c r="N618">
        <v>0</v>
      </c>
      <c r="O618">
        <v>0</v>
      </c>
      <c r="P618">
        <v>47108.068500000001</v>
      </c>
      <c r="Q618">
        <v>122298</v>
      </c>
      <c r="R618">
        <f>(Granger_Inventory[[#This Row],[ln_acres]]*Granger_Inventory[[#This Row],[coeff]])+Granger_Inventory[[#This Row],[const]]</f>
        <v>38824.535711229546</v>
      </c>
      <c r="AY618">
        <v>0</v>
      </c>
      <c r="AZ618">
        <v>0</v>
      </c>
      <c r="BE618">
        <v>0</v>
      </c>
      <c r="BF618">
        <v>15000</v>
      </c>
      <c r="BG618">
        <v>0</v>
      </c>
      <c r="BH618" s="8">
        <f>Granger_Inventory[[#This Row],[land_extract]]*Lookups!$B$3</f>
        <v>23128.971718879347</v>
      </c>
      <c r="BI618" s="8">
        <f>IF(Granger_Inventory[[#This Row],[bldg_style]]="",0,Lookups!$B$2)</f>
        <v>0</v>
      </c>
      <c r="BJ618" s="8">
        <f>_xlfn.IFNA(VLOOKUP(Granger_Inventory[[#This Row],[quality]],Lookups!$H$2:$J$14,3,FALSE),0)</f>
        <v>0</v>
      </c>
      <c r="BK618" s="8">
        <f>_xlfn.IFNA(VLOOKUP(Granger_Inventory[[#This Row],[condition]],Lookups!$H$17:$J$24,3,FALSE),0)</f>
        <v>0</v>
      </c>
      <c r="BL618" s="8">
        <f>Granger_Inventory[[#This Row],[Age]]*Lookups!$B$16</f>
        <v>0</v>
      </c>
      <c r="BM618" s="8">
        <f>Granger_Inventory[[#This Row],[living_area]]*Lookups!$B$17</f>
        <v>0</v>
      </c>
      <c r="BN618" s="8">
        <f>(Granger_Inventory[[#This Row],[att_gar]]+Granger_Inventory[[#This Row],[blt_gar]])*Lookups!$B$18</f>
        <v>0</v>
      </c>
      <c r="BO618" s="8">
        <f>Granger_Inventory[[#This Row],[Patio]]*Lookups!$B$19</f>
        <v>0</v>
      </c>
      <c r="BP618" s="8">
        <f>SUM(Granger_Inventory[[#This Row],[Intercept]:[Patio_Value]])*Granger_Inventory[[#This Row],[res_pct]]</f>
        <v>0</v>
      </c>
      <c r="BQ618" s="8">
        <f>Granger_Inventory[[#This Row],[land_value]]</f>
        <v>23128.971718879347</v>
      </c>
      <c r="BR618" s="4">
        <f>_xlfn.IFNA(VLOOKUP(Granger_Inventory[[#This Row],[quality]],Lookups!$A$25:$C$35,3,FALSE),1)</f>
        <v>1</v>
      </c>
      <c r="BS618" s="4">
        <f>_xlfn.IFNA(VLOOKUP(Granger_Inventory[[#This Row],[condition]],Lookups!$A$38:$C$45,3,FALSE),1)</f>
        <v>1</v>
      </c>
      <c r="BT618" s="4">
        <f>IF(Granger_Inventory[[#This Row],[decade]]="",1,_xlfn.IFNA(VLOOKUP(Granger_Inventory[[#This Row],[decade]],Lookups!$G$28:$I$42,3,FALSE),1))</f>
        <v>1</v>
      </c>
      <c r="BU618" s="4">
        <f>_xlfn.IFNA(VLOOKUP(Granger_Inventory[[#This Row],[living_area_range]],Lookups!$A$48:$C$57,3,FALSE),1)</f>
        <v>1</v>
      </c>
      <c r="BV618" s="4">
        <f>AVERAGE(Granger_Inventory[[#This Row],[qual_adj]:[living_range_adj]])</f>
        <v>1</v>
      </c>
      <c r="BW618" s="8">
        <f>(Granger_Inventory[[#This Row],[sum_land]]-IF(Granger_Inventory[[#This Row],[no_utilities]]=1,12000,0))/IF(Granger_Inventory[[#This Row],[unbuildable]]=1,2,1)</f>
        <v>23128.971718879347</v>
      </c>
      <c r="BX618" s="8">
        <f>Granger_Inventory[[#This Row],[pre_res]]*Granger_Inventory[[#This Row],[overall_adj]]</f>
        <v>0</v>
      </c>
      <c r="BY618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618">
        <f>ROUND(Granger_Inventory[[#This Row],[detatched_value]]*Lookups!$I$45,-2)</f>
        <v>0</v>
      </c>
      <c r="CA61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18">
        <f>Granger_Inventory[[#This Row],[final_det]]+Granger_Inventory[[#This Row],[final_res]]</f>
        <v>0</v>
      </c>
      <c r="CC618">
        <f>Granger_Inventory[[#This Row],[final_land]]+Granger_Inventory[[#This Row],[final_imp]]+Granger_Inventory[[#This Row],[crop_value]]</f>
        <v>22000</v>
      </c>
      <c r="CE618" t="str">
        <f t="shared" si="10"/>
        <v>update valuation set market_land =22000, market_bldg=0, market_total =22000, market_mdno =402, market_date ='9/10/2023' where link_id = (select link_id from parcel where parcel_year = '2024' and parcel_id = '21101532014');</v>
      </c>
    </row>
    <row r="619" spans="1:83" x14ac:dyDescent="0.25">
      <c r="A619">
        <v>21101532402</v>
      </c>
      <c r="B619">
        <v>3.83</v>
      </c>
      <c r="C619">
        <v>166705</v>
      </c>
      <c r="D619" t="s">
        <v>137</v>
      </c>
      <c r="E619" t="s">
        <v>54</v>
      </c>
      <c r="F619" t="s">
        <v>54</v>
      </c>
      <c r="G619">
        <v>3</v>
      </c>
      <c r="H619" t="s">
        <v>55</v>
      </c>
      <c r="I619">
        <v>600</v>
      </c>
      <c r="J619">
        <v>44700</v>
      </c>
      <c r="K619">
        <v>3.83</v>
      </c>
      <c r="L619">
        <f>IF(Granger_Inventory[[#This Row],[parcel_acres]]-Granger_Inventory[[#This Row],[non_valued_acres]] =0,0,LN(Granger_Inventory[[#This Row],[parcel_acres]]-Granger_Inventory[[#This Row],[non_valued_acres]]))</f>
        <v>1.3428648031925547</v>
      </c>
      <c r="M619">
        <v>0</v>
      </c>
      <c r="N619">
        <v>0</v>
      </c>
      <c r="O619">
        <v>0</v>
      </c>
      <c r="P619">
        <v>47108.068500000001</v>
      </c>
      <c r="Q619">
        <v>122298</v>
      </c>
      <c r="R619">
        <f>(Granger_Inventory[[#This Row],[ln_acres]]*Granger_Inventory[[#This Row],[coeff]])+Granger_Inventory[[#This Row],[const]]</f>
        <v>185557.76713503388</v>
      </c>
      <c r="AY619">
        <v>0</v>
      </c>
      <c r="AZ619">
        <v>700</v>
      </c>
      <c r="BE619">
        <v>0</v>
      </c>
      <c r="BF619">
        <v>15000</v>
      </c>
      <c r="BG619">
        <v>0</v>
      </c>
      <c r="BH619" s="8">
        <f>Granger_Inventory[[#This Row],[land_extract]]*Lookups!$B$3</f>
        <v>110542.47706156744</v>
      </c>
      <c r="BI619" s="8">
        <f>IF(Granger_Inventory[[#This Row],[bldg_style]]="",0,Lookups!$B$2)</f>
        <v>0</v>
      </c>
      <c r="BJ619" s="8">
        <f>_xlfn.IFNA(VLOOKUP(Granger_Inventory[[#This Row],[quality]],Lookups!$H$2:$J$14,3,FALSE),0)</f>
        <v>0</v>
      </c>
      <c r="BK619" s="8">
        <f>_xlfn.IFNA(VLOOKUP(Granger_Inventory[[#This Row],[condition]],Lookups!$H$17:$J$24,3,FALSE),0)</f>
        <v>0</v>
      </c>
      <c r="BL619" s="8">
        <f>Granger_Inventory[[#This Row],[Age]]*Lookups!$B$16</f>
        <v>0</v>
      </c>
      <c r="BM619" s="8">
        <f>Granger_Inventory[[#This Row],[living_area]]*Lookups!$B$17</f>
        <v>0</v>
      </c>
      <c r="BN619" s="8">
        <f>(Granger_Inventory[[#This Row],[att_gar]]+Granger_Inventory[[#This Row],[blt_gar]])*Lookups!$B$18</f>
        <v>0</v>
      </c>
      <c r="BO619" s="8">
        <f>Granger_Inventory[[#This Row],[Patio]]*Lookups!$B$19</f>
        <v>0</v>
      </c>
      <c r="BP619" s="8">
        <f>SUM(Granger_Inventory[[#This Row],[Intercept]:[Patio_Value]])*Granger_Inventory[[#This Row],[res_pct]]</f>
        <v>0</v>
      </c>
      <c r="BQ619" s="8">
        <f>Granger_Inventory[[#This Row],[land_value]]</f>
        <v>110542.47706156744</v>
      </c>
      <c r="BR619" s="4">
        <f>_xlfn.IFNA(VLOOKUP(Granger_Inventory[[#This Row],[quality]],Lookups!$A$25:$C$35,3,FALSE),1)</f>
        <v>1</v>
      </c>
      <c r="BS619" s="4">
        <f>_xlfn.IFNA(VLOOKUP(Granger_Inventory[[#This Row],[condition]],Lookups!$A$38:$C$45,3,FALSE),1)</f>
        <v>1</v>
      </c>
      <c r="BT619" s="4">
        <f>IF(Granger_Inventory[[#This Row],[decade]]="",1,_xlfn.IFNA(VLOOKUP(Granger_Inventory[[#This Row],[decade]],Lookups!$G$28:$I$42,3,FALSE),1))</f>
        <v>1</v>
      </c>
      <c r="BU619" s="4">
        <f>_xlfn.IFNA(VLOOKUP(Granger_Inventory[[#This Row],[living_area_range]],Lookups!$A$48:$C$57,3,FALSE),1)</f>
        <v>1</v>
      </c>
      <c r="BV619" s="4">
        <f>AVERAGE(Granger_Inventory[[#This Row],[qual_adj]:[living_range_adj]])</f>
        <v>1</v>
      </c>
      <c r="BW619" s="8">
        <f>(Granger_Inventory[[#This Row],[sum_land]]-IF(Granger_Inventory[[#This Row],[no_utilities]]=1,12000,0))/IF(Granger_Inventory[[#This Row],[unbuildable]]=1,2,1)</f>
        <v>110542.47706156744</v>
      </c>
      <c r="BX619" s="8">
        <f>Granger_Inventory[[#This Row],[pre_res]]*Granger_Inventory[[#This Row],[overall_adj]]</f>
        <v>0</v>
      </c>
      <c r="BY619">
        <f>IF(ROUND(Granger_Inventory[[#This Row],[adj_land]]*Lookups!$I$45,-2)&lt;Granger_Inventory[[#This Row],[min_land]],Granger_Inventory[[#This Row],[min_land]],ROUND(Granger_Inventory[[#This Row],[adj_land]]*Lookups!$I$45,-2))</f>
        <v>105000</v>
      </c>
      <c r="BZ619">
        <f>ROUND(Granger_Inventory[[#This Row],[detatched_value]]*Lookups!$I$45,-2)</f>
        <v>700</v>
      </c>
      <c r="CA61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19">
        <f>Granger_Inventory[[#This Row],[final_det]]+Granger_Inventory[[#This Row],[final_res]]</f>
        <v>700</v>
      </c>
      <c r="CC619">
        <f>Granger_Inventory[[#This Row],[final_land]]+Granger_Inventory[[#This Row],[final_imp]]+Granger_Inventory[[#This Row],[crop_value]]</f>
        <v>105700</v>
      </c>
      <c r="CE619" t="str">
        <f t="shared" si="10"/>
        <v>update valuation set market_land =105000, market_bldg=700, market_total =105700, market_mdno =402, market_date ='9/10/2023' where link_id = (select link_id from parcel where parcel_year = '2024' and parcel_id = '21101532402');</v>
      </c>
    </row>
    <row r="620" spans="1:83" x14ac:dyDescent="0.25">
      <c r="A620">
        <v>21101532403</v>
      </c>
      <c r="B620">
        <v>2.89</v>
      </c>
      <c r="C620">
        <v>125791</v>
      </c>
      <c r="D620" t="s">
        <v>137</v>
      </c>
      <c r="E620" t="s">
        <v>54</v>
      </c>
      <c r="F620" t="s">
        <v>54</v>
      </c>
      <c r="G620">
        <v>3</v>
      </c>
      <c r="H620" t="s">
        <v>55</v>
      </c>
      <c r="I620">
        <v>0</v>
      </c>
      <c r="J620">
        <v>43000</v>
      </c>
      <c r="K620">
        <v>2.89</v>
      </c>
      <c r="L620">
        <f>IF(Granger_Inventory[[#This Row],[parcel_acres]]-Granger_Inventory[[#This Row],[non_valued_acres]] =0,0,LN(Granger_Inventory[[#This Row],[parcel_acres]]-Granger_Inventory[[#This Row],[non_valued_acres]]))</f>
        <v>1.0612565021243408</v>
      </c>
      <c r="M620">
        <v>0</v>
      </c>
      <c r="N620">
        <v>0</v>
      </c>
      <c r="O620">
        <v>0</v>
      </c>
      <c r="P620">
        <v>47108.068500000001</v>
      </c>
      <c r="Q620">
        <v>122298</v>
      </c>
      <c r="R620">
        <f>(Granger_Inventory[[#This Row],[ln_acres]]*Granger_Inventory[[#This Row],[coeff]])+Granger_Inventory[[#This Row],[const]]</f>
        <v>172291.74399814385</v>
      </c>
      <c r="AY620">
        <v>0</v>
      </c>
      <c r="AZ620">
        <v>0</v>
      </c>
      <c r="BE620">
        <v>0</v>
      </c>
      <c r="BF620">
        <v>15000</v>
      </c>
      <c r="BG620">
        <v>0</v>
      </c>
      <c r="BH620" s="8">
        <f>Granger_Inventory[[#This Row],[land_extract]]*Lookups!$B$3</f>
        <v>102639.49848540944</v>
      </c>
      <c r="BI620" s="8">
        <f>IF(Granger_Inventory[[#This Row],[bldg_style]]="",0,Lookups!$B$2)</f>
        <v>0</v>
      </c>
      <c r="BJ620" s="8">
        <f>_xlfn.IFNA(VLOOKUP(Granger_Inventory[[#This Row],[quality]],Lookups!$H$2:$J$14,3,FALSE),0)</f>
        <v>0</v>
      </c>
      <c r="BK620" s="8">
        <f>_xlfn.IFNA(VLOOKUP(Granger_Inventory[[#This Row],[condition]],Lookups!$H$17:$J$24,3,FALSE),0)</f>
        <v>0</v>
      </c>
      <c r="BL620" s="8">
        <f>Granger_Inventory[[#This Row],[Age]]*Lookups!$B$16</f>
        <v>0</v>
      </c>
      <c r="BM620" s="8">
        <f>Granger_Inventory[[#This Row],[living_area]]*Lookups!$B$17</f>
        <v>0</v>
      </c>
      <c r="BN620" s="8">
        <f>(Granger_Inventory[[#This Row],[att_gar]]+Granger_Inventory[[#This Row],[blt_gar]])*Lookups!$B$18</f>
        <v>0</v>
      </c>
      <c r="BO620" s="8">
        <f>Granger_Inventory[[#This Row],[Patio]]*Lookups!$B$19</f>
        <v>0</v>
      </c>
      <c r="BP620" s="8">
        <f>SUM(Granger_Inventory[[#This Row],[Intercept]:[Patio_Value]])*Granger_Inventory[[#This Row],[res_pct]]</f>
        <v>0</v>
      </c>
      <c r="BQ620" s="8">
        <f>Granger_Inventory[[#This Row],[land_value]]</f>
        <v>102639.49848540944</v>
      </c>
      <c r="BR620" s="4">
        <f>_xlfn.IFNA(VLOOKUP(Granger_Inventory[[#This Row],[quality]],Lookups!$A$25:$C$35,3,FALSE),1)</f>
        <v>1</v>
      </c>
      <c r="BS620" s="4">
        <f>_xlfn.IFNA(VLOOKUP(Granger_Inventory[[#This Row],[condition]],Lookups!$A$38:$C$45,3,FALSE),1)</f>
        <v>1</v>
      </c>
      <c r="BT620" s="4">
        <f>IF(Granger_Inventory[[#This Row],[decade]]="",1,_xlfn.IFNA(VLOOKUP(Granger_Inventory[[#This Row],[decade]],Lookups!$G$28:$I$42,3,FALSE),1))</f>
        <v>1</v>
      </c>
      <c r="BU620" s="4">
        <f>_xlfn.IFNA(VLOOKUP(Granger_Inventory[[#This Row],[living_area_range]],Lookups!$A$48:$C$57,3,FALSE),1)</f>
        <v>1</v>
      </c>
      <c r="BV620" s="4">
        <f>AVERAGE(Granger_Inventory[[#This Row],[qual_adj]:[living_range_adj]])</f>
        <v>1</v>
      </c>
      <c r="BW620" s="8">
        <f>(Granger_Inventory[[#This Row],[sum_land]]-IF(Granger_Inventory[[#This Row],[no_utilities]]=1,12000,0))/IF(Granger_Inventory[[#This Row],[unbuildable]]=1,2,1)</f>
        <v>102639.49848540944</v>
      </c>
      <c r="BX620" s="8">
        <f>Granger_Inventory[[#This Row],[pre_res]]*Granger_Inventory[[#This Row],[overall_adj]]</f>
        <v>0</v>
      </c>
      <c r="BY620">
        <f>IF(ROUND(Granger_Inventory[[#This Row],[adj_land]]*Lookups!$I$45,-2)&lt;Granger_Inventory[[#This Row],[min_land]],Granger_Inventory[[#This Row],[min_land]],ROUND(Granger_Inventory[[#This Row],[adj_land]]*Lookups!$I$45,-2))</f>
        <v>97500</v>
      </c>
      <c r="BZ620">
        <f>ROUND(Granger_Inventory[[#This Row],[detatched_value]]*Lookups!$I$45,-2)</f>
        <v>0</v>
      </c>
      <c r="CA62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0">
        <f>Granger_Inventory[[#This Row],[final_det]]+Granger_Inventory[[#This Row],[final_res]]</f>
        <v>0</v>
      </c>
      <c r="CC620">
        <f>Granger_Inventory[[#This Row],[final_land]]+Granger_Inventory[[#This Row],[final_imp]]+Granger_Inventory[[#This Row],[crop_value]]</f>
        <v>97500</v>
      </c>
      <c r="CE620" t="str">
        <f t="shared" si="10"/>
        <v>update valuation set market_land =97500, market_bldg=0, market_total =97500, market_mdno =402, market_date ='9/10/2023' where link_id = (select link_id from parcel where parcel_year = '2024' and parcel_id = '21101532403');</v>
      </c>
    </row>
    <row r="621" spans="1:83" x14ac:dyDescent="0.25">
      <c r="A621">
        <v>21101533402</v>
      </c>
      <c r="B621">
        <v>0.16</v>
      </c>
      <c r="C621">
        <v>7134</v>
      </c>
      <c r="D621" t="s">
        <v>137</v>
      </c>
      <c r="E621" t="s">
        <v>54</v>
      </c>
      <c r="F621" t="s">
        <v>54</v>
      </c>
      <c r="G621">
        <v>3</v>
      </c>
      <c r="H621" t="s">
        <v>55</v>
      </c>
      <c r="I621">
        <v>0</v>
      </c>
      <c r="J621">
        <v>26200</v>
      </c>
      <c r="K621">
        <v>0.16</v>
      </c>
      <c r="L621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21">
        <v>0</v>
      </c>
      <c r="N621">
        <v>0</v>
      </c>
      <c r="O621">
        <v>0</v>
      </c>
      <c r="P621">
        <v>47108.068500000001</v>
      </c>
      <c r="Q621">
        <v>122298</v>
      </c>
      <c r="R621">
        <f>(Granger_Inventory[[#This Row],[ln_acres]]*Granger_Inventory[[#This Row],[coeff]])+Granger_Inventory[[#This Row],[const]]</f>
        <v>35968.626873914327</v>
      </c>
      <c r="AY621">
        <v>0</v>
      </c>
      <c r="AZ621">
        <v>0</v>
      </c>
      <c r="BE621">
        <v>0</v>
      </c>
      <c r="BF621">
        <v>15000</v>
      </c>
      <c r="BG621">
        <v>0</v>
      </c>
      <c r="BH621" s="8">
        <f>Granger_Inventory[[#This Row],[land_extract]]*Lookups!$B$3</f>
        <v>21427.618862498482</v>
      </c>
      <c r="BI621" s="8">
        <f>IF(Granger_Inventory[[#This Row],[bldg_style]]="",0,Lookups!$B$2)</f>
        <v>0</v>
      </c>
      <c r="BJ621" s="8">
        <f>_xlfn.IFNA(VLOOKUP(Granger_Inventory[[#This Row],[quality]],Lookups!$H$2:$J$14,3,FALSE),0)</f>
        <v>0</v>
      </c>
      <c r="BK621" s="8">
        <f>_xlfn.IFNA(VLOOKUP(Granger_Inventory[[#This Row],[condition]],Lookups!$H$17:$J$24,3,FALSE),0)</f>
        <v>0</v>
      </c>
      <c r="BL621" s="8">
        <f>Granger_Inventory[[#This Row],[Age]]*Lookups!$B$16</f>
        <v>0</v>
      </c>
      <c r="BM621" s="8">
        <f>Granger_Inventory[[#This Row],[living_area]]*Lookups!$B$17</f>
        <v>0</v>
      </c>
      <c r="BN621" s="8">
        <f>(Granger_Inventory[[#This Row],[att_gar]]+Granger_Inventory[[#This Row],[blt_gar]])*Lookups!$B$18</f>
        <v>0</v>
      </c>
      <c r="BO621" s="8">
        <f>Granger_Inventory[[#This Row],[Patio]]*Lookups!$B$19</f>
        <v>0</v>
      </c>
      <c r="BP621" s="8">
        <f>SUM(Granger_Inventory[[#This Row],[Intercept]:[Patio_Value]])*Granger_Inventory[[#This Row],[res_pct]]</f>
        <v>0</v>
      </c>
      <c r="BQ621" s="8">
        <f>Granger_Inventory[[#This Row],[land_value]]</f>
        <v>21427.618862498482</v>
      </c>
      <c r="BR621" s="4">
        <f>_xlfn.IFNA(VLOOKUP(Granger_Inventory[[#This Row],[quality]],Lookups!$A$25:$C$35,3,FALSE),1)</f>
        <v>1</v>
      </c>
      <c r="BS621" s="4">
        <f>_xlfn.IFNA(VLOOKUP(Granger_Inventory[[#This Row],[condition]],Lookups!$A$38:$C$45,3,FALSE),1)</f>
        <v>1</v>
      </c>
      <c r="BT621" s="4">
        <f>IF(Granger_Inventory[[#This Row],[decade]]="",1,_xlfn.IFNA(VLOOKUP(Granger_Inventory[[#This Row],[decade]],Lookups!$G$28:$I$42,3,FALSE),1))</f>
        <v>1</v>
      </c>
      <c r="BU621" s="4">
        <f>_xlfn.IFNA(VLOOKUP(Granger_Inventory[[#This Row],[living_area_range]],Lookups!$A$48:$C$57,3,FALSE),1)</f>
        <v>1</v>
      </c>
      <c r="BV621" s="4">
        <f>AVERAGE(Granger_Inventory[[#This Row],[qual_adj]:[living_range_adj]])</f>
        <v>1</v>
      </c>
      <c r="BW621" s="8">
        <f>(Granger_Inventory[[#This Row],[sum_land]]-IF(Granger_Inventory[[#This Row],[no_utilities]]=1,12000,0))/IF(Granger_Inventory[[#This Row],[unbuildable]]=1,2,1)</f>
        <v>21427.618862498482</v>
      </c>
      <c r="BX621" s="8">
        <f>Granger_Inventory[[#This Row],[pre_res]]*Granger_Inventory[[#This Row],[overall_adj]]</f>
        <v>0</v>
      </c>
      <c r="BY621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21">
        <f>ROUND(Granger_Inventory[[#This Row],[detatched_value]]*Lookups!$I$45,-2)</f>
        <v>0</v>
      </c>
      <c r="CA62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1">
        <f>Granger_Inventory[[#This Row],[final_det]]+Granger_Inventory[[#This Row],[final_res]]</f>
        <v>0</v>
      </c>
      <c r="CC621">
        <f>Granger_Inventory[[#This Row],[final_land]]+Granger_Inventory[[#This Row],[final_imp]]+Granger_Inventory[[#This Row],[crop_value]]</f>
        <v>20400</v>
      </c>
      <c r="CE621" t="str">
        <f t="shared" si="10"/>
        <v>update valuation set market_land =20400, market_bldg=0, market_total =20400, market_mdno =402, market_date ='9/10/2023' where link_id = (select link_id from parcel where parcel_year = '2024' and parcel_id = '21101533402');</v>
      </c>
    </row>
    <row r="622" spans="1:83" x14ac:dyDescent="0.25">
      <c r="A622">
        <v>21101533406</v>
      </c>
      <c r="B622">
        <v>0.16</v>
      </c>
      <c r="C622">
        <v>6996</v>
      </c>
      <c r="D622" t="s">
        <v>137</v>
      </c>
      <c r="E622" t="s">
        <v>54</v>
      </c>
      <c r="F622" t="s">
        <v>54</v>
      </c>
      <c r="G622">
        <v>3</v>
      </c>
      <c r="H622" t="s">
        <v>55</v>
      </c>
      <c r="I622">
        <v>2600</v>
      </c>
      <c r="J622">
        <v>26200</v>
      </c>
      <c r="K622">
        <v>0.16</v>
      </c>
      <c r="L622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22">
        <v>0</v>
      </c>
      <c r="N622">
        <v>0</v>
      </c>
      <c r="O622">
        <v>0</v>
      </c>
      <c r="P622">
        <v>47108.068500000001</v>
      </c>
      <c r="Q622">
        <v>122298</v>
      </c>
      <c r="R622">
        <f>(Granger_Inventory[[#This Row],[ln_acres]]*Granger_Inventory[[#This Row],[coeff]])+Granger_Inventory[[#This Row],[const]]</f>
        <v>35968.626873914327</v>
      </c>
      <c r="AY622">
        <v>0</v>
      </c>
      <c r="AZ622">
        <v>2900</v>
      </c>
      <c r="BE622">
        <v>0</v>
      </c>
      <c r="BF622">
        <v>15000</v>
      </c>
      <c r="BG622">
        <v>0</v>
      </c>
      <c r="BH622" s="8">
        <f>Granger_Inventory[[#This Row],[land_extract]]*Lookups!$B$3</f>
        <v>21427.618862498482</v>
      </c>
      <c r="BI622" s="8">
        <f>IF(Granger_Inventory[[#This Row],[bldg_style]]="",0,Lookups!$B$2)</f>
        <v>0</v>
      </c>
      <c r="BJ622" s="8">
        <f>_xlfn.IFNA(VLOOKUP(Granger_Inventory[[#This Row],[quality]],Lookups!$H$2:$J$14,3,FALSE),0)</f>
        <v>0</v>
      </c>
      <c r="BK622" s="8">
        <f>_xlfn.IFNA(VLOOKUP(Granger_Inventory[[#This Row],[condition]],Lookups!$H$17:$J$24,3,FALSE),0)</f>
        <v>0</v>
      </c>
      <c r="BL622" s="8">
        <f>Granger_Inventory[[#This Row],[Age]]*Lookups!$B$16</f>
        <v>0</v>
      </c>
      <c r="BM622" s="8">
        <f>Granger_Inventory[[#This Row],[living_area]]*Lookups!$B$17</f>
        <v>0</v>
      </c>
      <c r="BN622" s="8">
        <f>(Granger_Inventory[[#This Row],[att_gar]]+Granger_Inventory[[#This Row],[blt_gar]])*Lookups!$B$18</f>
        <v>0</v>
      </c>
      <c r="BO622" s="8">
        <f>Granger_Inventory[[#This Row],[Patio]]*Lookups!$B$19</f>
        <v>0</v>
      </c>
      <c r="BP622" s="8">
        <f>SUM(Granger_Inventory[[#This Row],[Intercept]:[Patio_Value]])*Granger_Inventory[[#This Row],[res_pct]]</f>
        <v>0</v>
      </c>
      <c r="BQ622" s="8">
        <f>Granger_Inventory[[#This Row],[land_value]]</f>
        <v>21427.618862498482</v>
      </c>
      <c r="BR622" s="4">
        <f>_xlfn.IFNA(VLOOKUP(Granger_Inventory[[#This Row],[quality]],Lookups!$A$25:$C$35,3,FALSE),1)</f>
        <v>1</v>
      </c>
      <c r="BS622" s="4">
        <f>_xlfn.IFNA(VLOOKUP(Granger_Inventory[[#This Row],[condition]],Lookups!$A$38:$C$45,3,FALSE),1)</f>
        <v>1</v>
      </c>
      <c r="BT622" s="4">
        <f>IF(Granger_Inventory[[#This Row],[decade]]="",1,_xlfn.IFNA(VLOOKUP(Granger_Inventory[[#This Row],[decade]],Lookups!$G$28:$I$42,3,FALSE),1))</f>
        <v>1</v>
      </c>
      <c r="BU622" s="4">
        <f>_xlfn.IFNA(VLOOKUP(Granger_Inventory[[#This Row],[living_area_range]],Lookups!$A$48:$C$57,3,FALSE),1)</f>
        <v>1</v>
      </c>
      <c r="BV622" s="4">
        <f>AVERAGE(Granger_Inventory[[#This Row],[qual_adj]:[living_range_adj]])</f>
        <v>1</v>
      </c>
      <c r="BW622" s="8">
        <f>(Granger_Inventory[[#This Row],[sum_land]]-IF(Granger_Inventory[[#This Row],[no_utilities]]=1,12000,0))/IF(Granger_Inventory[[#This Row],[unbuildable]]=1,2,1)</f>
        <v>21427.618862498482</v>
      </c>
      <c r="BX622" s="8">
        <f>Granger_Inventory[[#This Row],[pre_res]]*Granger_Inventory[[#This Row],[overall_adj]]</f>
        <v>0</v>
      </c>
      <c r="BY622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22">
        <f>ROUND(Granger_Inventory[[#This Row],[detatched_value]]*Lookups!$I$45,-2)</f>
        <v>2800</v>
      </c>
      <c r="CA62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2">
        <f>Granger_Inventory[[#This Row],[final_det]]+Granger_Inventory[[#This Row],[final_res]]</f>
        <v>2800</v>
      </c>
      <c r="CC622">
        <f>Granger_Inventory[[#This Row],[final_land]]+Granger_Inventory[[#This Row],[final_imp]]+Granger_Inventory[[#This Row],[crop_value]]</f>
        <v>23200</v>
      </c>
      <c r="CE622" t="str">
        <f t="shared" si="10"/>
        <v>update valuation set market_land =20400, market_bldg=2800, market_total =23200, market_mdno =402, market_date ='9/10/2023' where link_id = (select link_id from parcel where parcel_year = '2024' and parcel_id = '21101533406');</v>
      </c>
    </row>
    <row r="623" spans="1:83" x14ac:dyDescent="0.25">
      <c r="A623">
        <v>21101533427</v>
      </c>
      <c r="B623">
        <v>1.01</v>
      </c>
      <c r="C623">
        <v>44210</v>
      </c>
      <c r="D623" t="s">
        <v>137</v>
      </c>
      <c r="E623" t="s">
        <v>54</v>
      </c>
      <c r="F623" t="s">
        <v>54</v>
      </c>
      <c r="G623">
        <v>3</v>
      </c>
      <c r="H623" t="s">
        <v>55</v>
      </c>
      <c r="I623">
        <v>0</v>
      </c>
      <c r="J623">
        <v>36900</v>
      </c>
      <c r="K623">
        <v>1.01</v>
      </c>
      <c r="L623">
        <f>IF(Granger_Inventory[[#This Row],[parcel_acres]]-Granger_Inventory[[#This Row],[non_valued_acres]] =0,0,LN(Granger_Inventory[[#This Row],[parcel_acres]]-Granger_Inventory[[#This Row],[non_valued_acres]]))</f>
        <v>9.950330853168092E-3</v>
      </c>
      <c r="M623">
        <v>0</v>
      </c>
      <c r="N623">
        <v>0</v>
      </c>
      <c r="O623">
        <v>0</v>
      </c>
      <c r="P623">
        <v>47108.068500000001</v>
      </c>
      <c r="Q623">
        <v>122298</v>
      </c>
      <c r="R623">
        <f>(Granger_Inventory[[#This Row],[ln_acres]]*Granger_Inventory[[#This Row],[coeff]])+Granger_Inventory[[#This Row],[const]]</f>
        <v>122766.7408674287</v>
      </c>
      <c r="AY623">
        <v>0</v>
      </c>
      <c r="AZ623">
        <v>0</v>
      </c>
      <c r="BE623">
        <v>0</v>
      </c>
      <c r="BF623">
        <v>15000</v>
      </c>
      <c r="BG623">
        <v>0</v>
      </c>
      <c r="BH623" s="8">
        <f>Granger_Inventory[[#This Row],[land_extract]]*Lookups!$B$3</f>
        <v>73135.928750345993</v>
      </c>
      <c r="BI623" s="8">
        <f>IF(Granger_Inventory[[#This Row],[bldg_style]]="",0,Lookups!$B$2)</f>
        <v>0</v>
      </c>
      <c r="BJ623" s="8">
        <f>_xlfn.IFNA(VLOOKUP(Granger_Inventory[[#This Row],[quality]],Lookups!$H$2:$J$14,3,FALSE),0)</f>
        <v>0</v>
      </c>
      <c r="BK623" s="8">
        <f>_xlfn.IFNA(VLOOKUP(Granger_Inventory[[#This Row],[condition]],Lookups!$H$17:$J$24,3,FALSE),0)</f>
        <v>0</v>
      </c>
      <c r="BL623" s="8">
        <f>Granger_Inventory[[#This Row],[Age]]*Lookups!$B$16</f>
        <v>0</v>
      </c>
      <c r="BM623" s="8">
        <f>Granger_Inventory[[#This Row],[living_area]]*Lookups!$B$17</f>
        <v>0</v>
      </c>
      <c r="BN623" s="8">
        <f>(Granger_Inventory[[#This Row],[att_gar]]+Granger_Inventory[[#This Row],[blt_gar]])*Lookups!$B$18</f>
        <v>0</v>
      </c>
      <c r="BO623" s="8">
        <f>Granger_Inventory[[#This Row],[Patio]]*Lookups!$B$19</f>
        <v>0</v>
      </c>
      <c r="BP623" s="8">
        <f>SUM(Granger_Inventory[[#This Row],[Intercept]:[Patio_Value]])*Granger_Inventory[[#This Row],[res_pct]]</f>
        <v>0</v>
      </c>
      <c r="BQ623" s="8">
        <f>Granger_Inventory[[#This Row],[land_value]]</f>
        <v>73135.928750345993</v>
      </c>
      <c r="BR623" s="4">
        <f>_xlfn.IFNA(VLOOKUP(Granger_Inventory[[#This Row],[quality]],Lookups!$A$25:$C$35,3,FALSE),1)</f>
        <v>1</v>
      </c>
      <c r="BS623" s="4">
        <f>_xlfn.IFNA(VLOOKUP(Granger_Inventory[[#This Row],[condition]],Lookups!$A$38:$C$45,3,FALSE),1)</f>
        <v>1</v>
      </c>
      <c r="BT623" s="4">
        <f>IF(Granger_Inventory[[#This Row],[decade]]="",1,_xlfn.IFNA(VLOOKUP(Granger_Inventory[[#This Row],[decade]],Lookups!$G$28:$I$42,3,FALSE),1))</f>
        <v>1</v>
      </c>
      <c r="BU623" s="4">
        <f>_xlfn.IFNA(VLOOKUP(Granger_Inventory[[#This Row],[living_area_range]],Lookups!$A$48:$C$57,3,FALSE),1)</f>
        <v>1</v>
      </c>
      <c r="BV623" s="4">
        <f>AVERAGE(Granger_Inventory[[#This Row],[qual_adj]:[living_range_adj]])</f>
        <v>1</v>
      </c>
      <c r="BW623" s="8">
        <f>(Granger_Inventory[[#This Row],[sum_land]]-IF(Granger_Inventory[[#This Row],[no_utilities]]=1,12000,0))/IF(Granger_Inventory[[#This Row],[unbuildable]]=1,2,1)</f>
        <v>73135.928750345993</v>
      </c>
      <c r="BX623" s="8">
        <f>Granger_Inventory[[#This Row],[pre_res]]*Granger_Inventory[[#This Row],[overall_adj]]</f>
        <v>0</v>
      </c>
      <c r="BY623">
        <f>IF(ROUND(Granger_Inventory[[#This Row],[adj_land]]*Lookups!$I$45,-2)&lt;Granger_Inventory[[#This Row],[min_land]],Granger_Inventory[[#This Row],[min_land]],ROUND(Granger_Inventory[[#This Row],[adj_land]]*Lookups!$I$45,-2))</f>
        <v>69500</v>
      </c>
      <c r="BZ623">
        <f>ROUND(Granger_Inventory[[#This Row],[detatched_value]]*Lookups!$I$45,-2)</f>
        <v>0</v>
      </c>
      <c r="CA62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3">
        <f>Granger_Inventory[[#This Row],[final_det]]+Granger_Inventory[[#This Row],[final_res]]</f>
        <v>0</v>
      </c>
      <c r="CC623">
        <f>Granger_Inventory[[#This Row],[final_land]]+Granger_Inventory[[#This Row],[final_imp]]+Granger_Inventory[[#This Row],[crop_value]]</f>
        <v>69500</v>
      </c>
      <c r="CE623" t="str">
        <f t="shared" si="10"/>
        <v>update valuation set market_land =69500, market_bldg=0, market_total =69500, market_mdno =402, market_date ='9/10/2023' where link_id = (select link_id from parcel where parcel_year = '2024' and parcel_id = '21101533427');</v>
      </c>
    </row>
    <row r="624" spans="1:83" x14ac:dyDescent="0.25">
      <c r="A624">
        <v>21101533429</v>
      </c>
      <c r="B624">
        <v>0.38</v>
      </c>
      <c r="C624">
        <v>16364</v>
      </c>
      <c r="D624" t="s">
        <v>137</v>
      </c>
      <c r="E624" t="s">
        <v>54</v>
      </c>
      <c r="F624" t="s">
        <v>54</v>
      </c>
      <c r="G624">
        <v>3</v>
      </c>
      <c r="H624" t="s">
        <v>55</v>
      </c>
      <c r="I624">
        <v>0</v>
      </c>
      <c r="J624">
        <v>31200</v>
      </c>
      <c r="K624">
        <v>0.38</v>
      </c>
      <c r="L624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624">
        <v>0</v>
      </c>
      <c r="N624">
        <v>0</v>
      </c>
      <c r="O624">
        <v>0</v>
      </c>
      <c r="P624">
        <v>47108.068500000001</v>
      </c>
      <c r="Q624">
        <v>122298</v>
      </c>
      <c r="R624">
        <f>(Granger_Inventory[[#This Row],[ln_acres]]*Granger_Inventory[[#This Row],[coeff]])+Granger_Inventory[[#This Row],[const]]</f>
        <v>76716.985411357775</v>
      </c>
      <c r="AY624">
        <v>0</v>
      </c>
      <c r="AZ624">
        <v>0</v>
      </c>
      <c r="BE624">
        <v>0</v>
      </c>
      <c r="BF624">
        <v>15000</v>
      </c>
      <c r="BG624">
        <v>0</v>
      </c>
      <c r="BH624" s="8">
        <f>Granger_Inventory[[#This Row],[land_extract]]*Lookups!$B$3</f>
        <v>45702.671092696495</v>
      </c>
      <c r="BI624" s="8">
        <f>IF(Granger_Inventory[[#This Row],[bldg_style]]="",0,Lookups!$B$2)</f>
        <v>0</v>
      </c>
      <c r="BJ624" s="8">
        <f>_xlfn.IFNA(VLOOKUP(Granger_Inventory[[#This Row],[quality]],Lookups!$H$2:$J$14,3,FALSE),0)</f>
        <v>0</v>
      </c>
      <c r="BK624" s="8">
        <f>_xlfn.IFNA(VLOOKUP(Granger_Inventory[[#This Row],[condition]],Lookups!$H$17:$J$24,3,FALSE),0)</f>
        <v>0</v>
      </c>
      <c r="BL624" s="8">
        <f>Granger_Inventory[[#This Row],[Age]]*Lookups!$B$16</f>
        <v>0</v>
      </c>
      <c r="BM624" s="8">
        <f>Granger_Inventory[[#This Row],[living_area]]*Lookups!$B$17</f>
        <v>0</v>
      </c>
      <c r="BN624" s="8">
        <f>(Granger_Inventory[[#This Row],[att_gar]]+Granger_Inventory[[#This Row],[blt_gar]])*Lookups!$B$18</f>
        <v>0</v>
      </c>
      <c r="BO624" s="8">
        <f>Granger_Inventory[[#This Row],[Patio]]*Lookups!$B$19</f>
        <v>0</v>
      </c>
      <c r="BP624" s="8">
        <f>SUM(Granger_Inventory[[#This Row],[Intercept]:[Patio_Value]])*Granger_Inventory[[#This Row],[res_pct]]</f>
        <v>0</v>
      </c>
      <c r="BQ624" s="8">
        <f>Granger_Inventory[[#This Row],[land_value]]</f>
        <v>45702.671092696495</v>
      </c>
      <c r="BR624" s="4">
        <f>_xlfn.IFNA(VLOOKUP(Granger_Inventory[[#This Row],[quality]],Lookups!$A$25:$C$35,3,FALSE),1)</f>
        <v>1</v>
      </c>
      <c r="BS624" s="4">
        <f>_xlfn.IFNA(VLOOKUP(Granger_Inventory[[#This Row],[condition]],Lookups!$A$38:$C$45,3,FALSE),1)</f>
        <v>1</v>
      </c>
      <c r="BT624" s="4">
        <f>IF(Granger_Inventory[[#This Row],[decade]]="",1,_xlfn.IFNA(VLOOKUP(Granger_Inventory[[#This Row],[decade]],Lookups!$G$28:$I$42,3,FALSE),1))</f>
        <v>1</v>
      </c>
      <c r="BU624" s="4">
        <f>_xlfn.IFNA(VLOOKUP(Granger_Inventory[[#This Row],[living_area_range]],Lookups!$A$48:$C$57,3,FALSE),1)</f>
        <v>1</v>
      </c>
      <c r="BV624" s="4">
        <f>AVERAGE(Granger_Inventory[[#This Row],[qual_adj]:[living_range_adj]])</f>
        <v>1</v>
      </c>
      <c r="BW624" s="8">
        <f>(Granger_Inventory[[#This Row],[sum_land]]-IF(Granger_Inventory[[#This Row],[no_utilities]]=1,12000,0))/IF(Granger_Inventory[[#This Row],[unbuildable]]=1,2,1)</f>
        <v>45702.671092696495</v>
      </c>
      <c r="BX624" s="8">
        <f>Granger_Inventory[[#This Row],[pre_res]]*Granger_Inventory[[#This Row],[overall_adj]]</f>
        <v>0</v>
      </c>
      <c r="BY624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624">
        <f>ROUND(Granger_Inventory[[#This Row],[detatched_value]]*Lookups!$I$45,-2)</f>
        <v>0</v>
      </c>
      <c r="CA62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4">
        <f>Granger_Inventory[[#This Row],[final_det]]+Granger_Inventory[[#This Row],[final_res]]</f>
        <v>0</v>
      </c>
      <c r="CC624">
        <f>Granger_Inventory[[#This Row],[final_land]]+Granger_Inventory[[#This Row],[final_imp]]+Granger_Inventory[[#This Row],[crop_value]]</f>
        <v>43400</v>
      </c>
      <c r="CE624" t="str">
        <f t="shared" si="10"/>
        <v>update valuation set market_land =43400, market_bldg=0, market_total =43400, market_mdno =402, market_date ='9/10/2023' where link_id = (select link_id from parcel where parcel_year = '2024' and parcel_id = '21101533429');</v>
      </c>
    </row>
    <row r="625" spans="1:83" x14ac:dyDescent="0.25">
      <c r="A625">
        <v>21101533432</v>
      </c>
      <c r="B625">
        <v>0.26</v>
      </c>
      <c r="C625">
        <v>11198</v>
      </c>
      <c r="D625" t="s">
        <v>137</v>
      </c>
      <c r="E625" t="s">
        <v>54</v>
      </c>
      <c r="F625" t="s">
        <v>54</v>
      </c>
      <c r="G625">
        <v>3</v>
      </c>
      <c r="H625" t="s">
        <v>55</v>
      </c>
      <c r="I625">
        <v>0</v>
      </c>
      <c r="J625">
        <v>29000</v>
      </c>
      <c r="K625">
        <v>0.26</v>
      </c>
      <c r="L625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625">
        <v>0</v>
      </c>
      <c r="N625">
        <v>0</v>
      </c>
      <c r="O625">
        <v>0</v>
      </c>
      <c r="P625">
        <v>47108.068500000001</v>
      </c>
      <c r="Q625">
        <v>122298</v>
      </c>
      <c r="R625">
        <f>(Granger_Inventory[[#This Row],[ln_acres]]*Granger_Inventory[[#This Row],[coeff]])+Granger_Inventory[[#This Row],[const]]</f>
        <v>58839.962317044083</v>
      </c>
      <c r="AY625">
        <v>0</v>
      </c>
      <c r="AZ625">
        <v>0</v>
      </c>
      <c r="BE625">
        <v>0</v>
      </c>
      <c r="BF625">
        <v>15000</v>
      </c>
      <c r="BG625">
        <v>0</v>
      </c>
      <c r="BH625" s="8">
        <f>Granger_Inventory[[#This Row],[land_extract]]*Lookups!$B$3</f>
        <v>35052.777823102522</v>
      </c>
      <c r="BI625" s="8">
        <f>IF(Granger_Inventory[[#This Row],[bldg_style]]="",0,Lookups!$B$2)</f>
        <v>0</v>
      </c>
      <c r="BJ625" s="8">
        <f>_xlfn.IFNA(VLOOKUP(Granger_Inventory[[#This Row],[quality]],Lookups!$H$2:$J$14,3,FALSE),0)</f>
        <v>0</v>
      </c>
      <c r="BK625" s="8">
        <f>_xlfn.IFNA(VLOOKUP(Granger_Inventory[[#This Row],[condition]],Lookups!$H$17:$J$24,3,FALSE),0)</f>
        <v>0</v>
      </c>
      <c r="BL625" s="8">
        <f>Granger_Inventory[[#This Row],[Age]]*Lookups!$B$16</f>
        <v>0</v>
      </c>
      <c r="BM625" s="8">
        <f>Granger_Inventory[[#This Row],[living_area]]*Lookups!$B$17</f>
        <v>0</v>
      </c>
      <c r="BN625" s="8">
        <f>(Granger_Inventory[[#This Row],[att_gar]]+Granger_Inventory[[#This Row],[blt_gar]])*Lookups!$B$18</f>
        <v>0</v>
      </c>
      <c r="BO625" s="8">
        <f>Granger_Inventory[[#This Row],[Patio]]*Lookups!$B$19</f>
        <v>0</v>
      </c>
      <c r="BP625" s="8">
        <f>SUM(Granger_Inventory[[#This Row],[Intercept]:[Patio_Value]])*Granger_Inventory[[#This Row],[res_pct]]</f>
        <v>0</v>
      </c>
      <c r="BQ625" s="8">
        <f>Granger_Inventory[[#This Row],[land_value]]</f>
        <v>35052.777823102522</v>
      </c>
      <c r="BR625" s="4">
        <f>_xlfn.IFNA(VLOOKUP(Granger_Inventory[[#This Row],[quality]],Lookups!$A$25:$C$35,3,FALSE),1)</f>
        <v>1</v>
      </c>
      <c r="BS625" s="4">
        <f>_xlfn.IFNA(VLOOKUP(Granger_Inventory[[#This Row],[condition]],Lookups!$A$38:$C$45,3,FALSE),1)</f>
        <v>1</v>
      </c>
      <c r="BT625" s="4">
        <f>IF(Granger_Inventory[[#This Row],[decade]]="",1,_xlfn.IFNA(VLOOKUP(Granger_Inventory[[#This Row],[decade]],Lookups!$G$28:$I$42,3,FALSE),1))</f>
        <v>1</v>
      </c>
      <c r="BU625" s="4">
        <f>_xlfn.IFNA(VLOOKUP(Granger_Inventory[[#This Row],[living_area_range]],Lookups!$A$48:$C$57,3,FALSE),1)</f>
        <v>1</v>
      </c>
      <c r="BV625" s="4">
        <f>AVERAGE(Granger_Inventory[[#This Row],[qual_adj]:[living_range_adj]])</f>
        <v>1</v>
      </c>
      <c r="BW625" s="8">
        <f>(Granger_Inventory[[#This Row],[sum_land]]-IF(Granger_Inventory[[#This Row],[no_utilities]]=1,12000,0))/IF(Granger_Inventory[[#This Row],[unbuildable]]=1,2,1)</f>
        <v>35052.777823102522</v>
      </c>
      <c r="BX625" s="8">
        <f>Granger_Inventory[[#This Row],[pre_res]]*Granger_Inventory[[#This Row],[overall_adj]]</f>
        <v>0</v>
      </c>
      <c r="BY625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625">
        <f>ROUND(Granger_Inventory[[#This Row],[detatched_value]]*Lookups!$I$45,-2)</f>
        <v>0</v>
      </c>
      <c r="CA62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5">
        <f>Granger_Inventory[[#This Row],[final_det]]+Granger_Inventory[[#This Row],[final_res]]</f>
        <v>0</v>
      </c>
      <c r="CC625">
        <f>Granger_Inventory[[#This Row],[final_land]]+Granger_Inventory[[#This Row],[final_imp]]+Granger_Inventory[[#This Row],[crop_value]]</f>
        <v>33300</v>
      </c>
      <c r="CE625" t="str">
        <f t="shared" si="10"/>
        <v>update valuation set market_land =33300, market_bldg=0, market_total =33300, market_mdno =402, market_date ='9/10/2023' where link_id = (select link_id from parcel where parcel_year = '2024' and parcel_id = '21101533432');</v>
      </c>
    </row>
    <row r="626" spans="1:83" x14ac:dyDescent="0.25">
      <c r="A626">
        <v>21101533444</v>
      </c>
      <c r="B626">
        <v>0.14000000000000001</v>
      </c>
      <c r="C626">
        <v>6027</v>
      </c>
      <c r="D626" t="s">
        <v>137</v>
      </c>
      <c r="E626" t="s">
        <v>54</v>
      </c>
      <c r="F626" t="s">
        <v>54</v>
      </c>
      <c r="G626">
        <v>3</v>
      </c>
      <c r="H626" t="s">
        <v>55</v>
      </c>
      <c r="I626">
        <v>0</v>
      </c>
      <c r="J626">
        <v>25400</v>
      </c>
      <c r="K626">
        <v>0.14000000000000001</v>
      </c>
      <c r="L626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626">
        <v>0</v>
      </c>
      <c r="N626">
        <v>0</v>
      </c>
      <c r="O626">
        <v>0</v>
      </c>
      <c r="P626">
        <v>47108.068500000001</v>
      </c>
      <c r="Q626">
        <v>122298</v>
      </c>
      <c r="R626">
        <f>(Granger_Inventory[[#This Row],[ln_acres]]*Granger_Inventory[[#This Row],[coeff]])+Granger_Inventory[[#This Row],[const]]</f>
        <v>29678.220883257934</v>
      </c>
      <c r="AY626">
        <v>0</v>
      </c>
      <c r="AZ626">
        <v>0</v>
      </c>
      <c r="BE626">
        <v>0</v>
      </c>
      <c r="BF626">
        <v>15000</v>
      </c>
      <c r="BG626">
        <v>0</v>
      </c>
      <c r="BH626" s="8">
        <f>Granger_Inventory[[#This Row],[land_extract]]*Lookups!$B$3</f>
        <v>17680.230269359956</v>
      </c>
      <c r="BI626" s="8">
        <f>IF(Granger_Inventory[[#This Row],[bldg_style]]="",0,Lookups!$B$2)</f>
        <v>0</v>
      </c>
      <c r="BJ626" s="8">
        <f>_xlfn.IFNA(VLOOKUP(Granger_Inventory[[#This Row],[quality]],Lookups!$H$2:$J$14,3,FALSE),0)</f>
        <v>0</v>
      </c>
      <c r="BK626" s="8">
        <f>_xlfn.IFNA(VLOOKUP(Granger_Inventory[[#This Row],[condition]],Lookups!$H$17:$J$24,3,FALSE),0)</f>
        <v>0</v>
      </c>
      <c r="BL626" s="8">
        <f>Granger_Inventory[[#This Row],[Age]]*Lookups!$B$16</f>
        <v>0</v>
      </c>
      <c r="BM626" s="8">
        <f>Granger_Inventory[[#This Row],[living_area]]*Lookups!$B$17</f>
        <v>0</v>
      </c>
      <c r="BN626" s="8">
        <f>(Granger_Inventory[[#This Row],[att_gar]]+Granger_Inventory[[#This Row],[blt_gar]])*Lookups!$B$18</f>
        <v>0</v>
      </c>
      <c r="BO626" s="8">
        <f>Granger_Inventory[[#This Row],[Patio]]*Lookups!$B$19</f>
        <v>0</v>
      </c>
      <c r="BP626" s="8">
        <f>SUM(Granger_Inventory[[#This Row],[Intercept]:[Patio_Value]])*Granger_Inventory[[#This Row],[res_pct]]</f>
        <v>0</v>
      </c>
      <c r="BQ626" s="8">
        <f>Granger_Inventory[[#This Row],[land_value]]</f>
        <v>17680.230269359956</v>
      </c>
      <c r="BR626" s="4">
        <f>_xlfn.IFNA(VLOOKUP(Granger_Inventory[[#This Row],[quality]],Lookups!$A$25:$C$35,3,FALSE),1)</f>
        <v>1</v>
      </c>
      <c r="BS626" s="4">
        <f>_xlfn.IFNA(VLOOKUP(Granger_Inventory[[#This Row],[condition]],Lookups!$A$38:$C$45,3,FALSE),1)</f>
        <v>1</v>
      </c>
      <c r="BT626" s="4">
        <f>IF(Granger_Inventory[[#This Row],[decade]]="",1,_xlfn.IFNA(VLOOKUP(Granger_Inventory[[#This Row],[decade]],Lookups!$G$28:$I$42,3,FALSE),1))</f>
        <v>1</v>
      </c>
      <c r="BU626" s="4">
        <f>_xlfn.IFNA(VLOOKUP(Granger_Inventory[[#This Row],[living_area_range]],Lookups!$A$48:$C$57,3,FALSE),1)</f>
        <v>1</v>
      </c>
      <c r="BV626" s="4">
        <f>AVERAGE(Granger_Inventory[[#This Row],[qual_adj]:[living_range_adj]])</f>
        <v>1</v>
      </c>
      <c r="BW626" s="8">
        <f>(Granger_Inventory[[#This Row],[sum_land]]-IF(Granger_Inventory[[#This Row],[no_utilities]]=1,12000,0))/IF(Granger_Inventory[[#This Row],[unbuildable]]=1,2,1)</f>
        <v>17680.230269359956</v>
      </c>
      <c r="BX626" s="8">
        <f>Granger_Inventory[[#This Row],[pre_res]]*Granger_Inventory[[#This Row],[overall_adj]]</f>
        <v>0</v>
      </c>
      <c r="BY626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626">
        <f>ROUND(Granger_Inventory[[#This Row],[detatched_value]]*Lookups!$I$45,-2)</f>
        <v>0</v>
      </c>
      <c r="CA62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6">
        <f>Granger_Inventory[[#This Row],[final_det]]+Granger_Inventory[[#This Row],[final_res]]</f>
        <v>0</v>
      </c>
      <c r="CC626">
        <f>Granger_Inventory[[#This Row],[final_land]]+Granger_Inventory[[#This Row],[final_imp]]+Granger_Inventory[[#This Row],[crop_value]]</f>
        <v>16800</v>
      </c>
      <c r="CE626" t="str">
        <f t="shared" si="10"/>
        <v>update valuation set market_land =16800, market_bldg=0, market_total =16800, market_mdno =402, market_date ='9/10/2023' where link_id = (select link_id from parcel where parcel_year = '2024' and parcel_id = '21101533444');</v>
      </c>
    </row>
    <row r="627" spans="1:83" x14ac:dyDescent="0.25">
      <c r="A627">
        <v>21101533453</v>
      </c>
      <c r="B627">
        <v>4.9400000000000004</v>
      </c>
      <c r="C627" t="s">
        <v>137</v>
      </c>
      <c r="D627" t="s">
        <v>137</v>
      </c>
      <c r="E627" t="s">
        <v>54</v>
      </c>
      <c r="F627" t="s">
        <v>54</v>
      </c>
      <c r="G627">
        <v>3</v>
      </c>
      <c r="H627" t="s">
        <v>55</v>
      </c>
      <c r="I627">
        <v>0</v>
      </c>
      <c r="J627">
        <v>46100</v>
      </c>
      <c r="K627">
        <v>4.9400000000000004</v>
      </c>
      <c r="L627">
        <f>IF(Granger_Inventory[[#This Row],[parcel_acres]]-Granger_Inventory[[#This Row],[non_valued_acres]] =0,0,LN(Granger_Inventory[[#This Row],[parcel_acres]]-Granger_Inventory[[#This Row],[non_valued_acres]]))</f>
        <v>1.5973653311998313</v>
      </c>
      <c r="M627">
        <v>0</v>
      </c>
      <c r="N627">
        <v>0</v>
      </c>
      <c r="O627">
        <v>0</v>
      </c>
      <c r="P627">
        <v>47108.068500000001</v>
      </c>
      <c r="Q627">
        <v>122298</v>
      </c>
      <c r="R627">
        <f>(Granger_Inventory[[#This Row],[ln_acres]]*Granger_Inventory[[#This Row],[coeff]])+Granger_Inventory[[#This Row],[const]]</f>
        <v>197546.79544168685</v>
      </c>
      <c r="AY627">
        <v>0</v>
      </c>
      <c r="AZ627">
        <v>0</v>
      </c>
      <c r="BE627">
        <v>0</v>
      </c>
      <c r="BF627">
        <v>15000</v>
      </c>
      <c r="BG627">
        <v>0</v>
      </c>
      <c r="BH627" s="8">
        <f>Granger_Inventory[[#This Row],[land_extract]]*Lookups!$B$3</f>
        <v>117684.71048591245</v>
      </c>
      <c r="BI627" s="8">
        <f>IF(Granger_Inventory[[#This Row],[bldg_style]]="",0,Lookups!$B$2)</f>
        <v>0</v>
      </c>
      <c r="BJ627" s="8">
        <f>_xlfn.IFNA(VLOOKUP(Granger_Inventory[[#This Row],[quality]],Lookups!$H$2:$J$14,3,FALSE),0)</f>
        <v>0</v>
      </c>
      <c r="BK627" s="8">
        <f>_xlfn.IFNA(VLOOKUP(Granger_Inventory[[#This Row],[condition]],Lookups!$H$17:$J$24,3,FALSE),0)</f>
        <v>0</v>
      </c>
      <c r="BL627" s="8">
        <f>Granger_Inventory[[#This Row],[Age]]*Lookups!$B$16</f>
        <v>0</v>
      </c>
      <c r="BM627" s="8">
        <f>Granger_Inventory[[#This Row],[living_area]]*Lookups!$B$17</f>
        <v>0</v>
      </c>
      <c r="BN627" s="8">
        <f>(Granger_Inventory[[#This Row],[att_gar]]+Granger_Inventory[[#This Row],[blt_gar]])*Lookups!$B$18</f>
        <v>0</v>
      </c>
      <c r="BO627" s="8">
        <f>Granger_Inventory[[#This Row],[Patio]]*Lookups!$B$19</f>
        <v>0</v>
      </c>
      <c r="BP627" s="8">
        <f>SUM(Granger_Inventory[[#This Row],[Intercept]:[Patio_Value]])*Granger_Inventory[[#This Row],[res_pct]]</f>
        <v>0</v>
      </c>
      <c r="BQ627" s="8">
        <f>Granger_Inventory[[#This Row],[land_value]]</f>
        <v>117684.71048591245</v>
      </c>
      <c r="BR627" s="4">
        <f>_xlfn.IFNA(VLOOKUP(Granger_Inventory[[#This Row],[quality]],Lookups!$A$25:$C$35,3,FALSE),1)</f>
        <v>1</v>
      </c>
      <c r="BS627" s="4">
        <f>_xlfn.IFNA(VLOOKUP(Granger_Inventory[[#This Row],[condition]],Lookups!$A$38:$C$45,3,FALSE),1)</f>
        <v>1</v>
      </c>
      <c r="BT627" s="4">
        <f>IF(Granger_Inventory[[#This Row],[decade]]="",1,_xlfn.IFNA(VLOOKUP(Granger_Inventory[[#This Row],[decade]],Lookups!$G$28:$I$42,3,FALSE),1))</f>
        <v>1</v>
      </c>
      <c r="BU627" s="4">
        <f>_xlfn.IFNA(VLOOKUP(Granger_Inventory[[#This Row],[living_area_range]],Lookups!$A$48:$C$57,3,FALSE),1)</f>
        <v>1</v>
      </c>
      <c r="BV627" s="4">
        <f>AVERAGE(Granger_Inventory[[#This Row],[qual_adj]:[living_range_adj]])</f>
        <v>1</v>
      </c>
      <c r="BW627" s="8">
        <f>(Granger_Inventory[[#This Row],[sum_land]]-IF(Granger_Inventory[[#This Row],[no_utilities]]=1,12000,0))/IF(Granger_Inventory[[#This Row],[unbuildable]]=1,2,1)</f>
        <v>117684.71048591245</v>
      </c>
      <c r="BX627" s="8">
        <f>Granger_Inventory[[#This Row],[pre_res]]*Granger_Inventory[[#This Row],[overall_adj]]</f>
        <v>0</v>
      </c>
      <c r="BY627">
        <f>IF(ROUND(Granger_Inventory[[#This Row],[adj_land]]*Lookups!$I$45,-2)&lt;Granger_Inventory[[#This Row],[min_land]],Granger_Inventory[[#This Row],[min_land]],ROUND(Granger_Inventory[[#This Row],[adj_land]]*Lookups!$I$45,-2))</f>
        <v>111800</v>
      </c>
      <c r="BZ627">
        <f>ROUND(Granger_Inventory[[#This Row],[detatched_value]]*Lookups!$I$45,-2)</f>
        <v>0</v>
      </c>
      <c r="CA62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7">
        <f>Granger_Inventory[[#This Row],[final_det]]+Granger_Inventory[[#This Row],[final_res]]</f>
        <v>0</v>
      </c>
      <c r="CC627">
        <f>Granger_Inventory[[#This Row],[final_land]]+Granger_Inventory[[#This Row],[final_imp]]+Granger_Inventory[[#This Row],[crop_value]]</f>
        <v>111800</v>
      </c>
      <c r="CE627" t="str">
        <f t="shared" si="10"/>
        <v>update valuation set market_land =111800, market_bldg=0, market_total =111800, market_mdno =402, market_date ='9/10/2023' where link_id = (select link_id from parcel where parcel_year = '2024' and parcel_id = '21101533453');</v>
      </c>
    </row>
    <row r="628" spans="1:83" x14ac:dyDescent="0.25">
      <c r="A628">
        <v>21101533457</v>
      </c>
      <c r="B628">
        <v>0.24</v>
      </c>
      <c r="C628">
        <v>10619</v>
      </c>
      <c r="D628" t="s">
        <v>137</v>
      </c>
      <c r="E628" t="s">
        <v>54</v>
      </c>
      <c r="F628" t="s">
        <v>54</v>
      </c>
      <c r="G628">
        <v>3</v>
      </c>
      <c r="H628" t="s">
        <v>55</v>
      </c>
      <c r="I628">
        <v>0</v>
      </c>
      <c r="J628">
        <v>28500</v>
      </c>
      <c r="K628">
        <v>0.24</v>
      </c>
      <c r="L628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628">
        <v>0</v>
      </c>
      <c r="N628">
        <v>0</v>
      </c>
      <c r="O628">
        <v>0</v>
      </c>
      <c r="P628">
        <v>47108.068500000001</v>
      </c>
      <c r="Q628">
        <v>122298</v>
      </c>
      <c r="R628">
        <f>(Granger_Inventory[[#This Row],[ln_acres]]*Granger_Inventory[[#This Row],[coeff]])+Granger_Inventory[[#This Row],[const]]</f>
        <v>55069.304961033646</v>
      </c>
      <c r="AY628">
        <v>0</v>
      </c>
      <c r="AZ628">
        <v>0</v>
      </c>
      <c r="BE628">
        <v>0</v>
      </c>
      <c r="BF628">
        <v>15000</v>
      </c>
      <c r="BG628">
        <v>0</v>
      </c>
      <c r="BH628" s="8">
        <f>Granger_Inventory[[#This Row],[land_extract]]*Lookups!$B$3</f>
        <v>32806.481099880541</v>
      </c>
      <c r="BI628" s="8">
        <f>IF(Granger_Inventory[[#This Row],[bldg_style]]="",0,Lookups!$B$2)</f>
        <v>0</v>
      </c>
      <c r="BJ628" s="8">
        <f>_xlfn.IFNA(VLOOKUP(Granger_Inventory[[#This Row],[quality]],Lookups!$H$2:$J$14,3,FALSE),0)</f>
        <v>0</v>
      </c>
      <c r="BK628" s="8">
        <f>_xlfn.IFNA(VLOOKUP(Granger_Inventory[[#This Row],[condition]],Lookups!$H$17:$J$24,3,FALSE),0)</f>
        <v>0</v>
      </c>
      <c r="BL628" s="8">
        <f>Granger_Inventory[[#This Row],[Age]]*Lookups!$B$16</f>
        <v>0</v>
      </c>
      <c r="BM628" s="8">
        <f>Granger_Inventory[[#This Row],[living_area]]*Lookups!$B$17</f>
        <v>0</v>
      </c>
      <c r="BN628" s="8">
        <f>(Granger_Inventory[[#This Row],[att_gar]]+Granger_Inventory[[#This Row],[blt_gar]])*Lookups!$B$18</f>
        <v>0</v>
      </c>
      <c r="BO628" s="8">
        <f>Granger_Inventory[[#This Row],[Patio]]*Lookups!$B$19</f>
        <v>0</v>
      </c>
      <c r="BP628" s="8">
        <f>SUM(Granger_Inventory[[#This Row],[Intercept]:[Patio_Value]])*Granger_Inventory[[#This Row],[res_pct]]</f>
        <v>0</v>
      </c>
      <c r="BQ628" s="8">
        <f>Granger_Inventory[[#This Row],[land_value]]</f>
        <v>32806.481099880541</v>
      </c>
      <c r="BR628" s="4">
        <f>_xlfn.IFNA(VLOOKUP(Granger_Inventory[[#This Row],[quality]],Lookups!$A$25:$C$35,3,FALSE),1)</f>
        <v>1</v>
      </c>
      <c r="BS628" s="4">
        <f>_xlfn.IFNA(VLOOKUP(Granger_Inventory[[#This Row],[condition]],Lookups!$A$38:$C$45,3,FALSE),1)</f>
        <v>1</v>
      </c>
      <c r="BT628" s="4">
        <f>IF(Granger_Inventory[[#This Row],[decade]]="",1,_xlfn.IFNA(VLOOKUP(Granger_Inventory[[#This Row],[decade]],Lookups!$G$28:$I$42,3,FALSE),1))</f>
        <v>1</v>
      </c>
      <c r="BU628" s="4">
        <f>_xlfn.IFNA(VLOOKUP(Granger_Inventory[[#This Row],[living_area_range]],Lookups!$A$48:$C$57,3,FALSE),1)</f>
        <v>1</v>
      </c>
      <c r="BV628" s="4">
        <f>AVERAGE(Granger_Inventory[[#This Row],[qual_adj]:[living_range_adj]])</f>
        <v>1</v>
      </c>
      <c r="BW628" s="8">
        <f>(Granger_Inventory[[#This Row],[sum_land]]-IF(Granger_Inventory[[#This Row],[no_utilities]]=1,12000,0))/IF(Granger_Inventory[[#This Row],[unbuildable]]=1,2,1)</f>
        <v>32806.481099880541</v>
      </c>
      <c r="BX628" s="8">
        <f>Granger_Inventory[[#This Row],[pre_res]]*Granger_Inventory[[#This Row],[overall_adj]]</f>
        <v>0</v>
      </c>
      <c r="BY628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628">
        <f>ROUND(Granger_Inventory[[#This Row],[detatched_value]]*Lookups!$I$45,-2)</f>
        <v>0</v>
      </c>
      <c r="CA62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8">
        <f>Granger_Inventory[[#This Row],[final_det]]+Granger_Inventory[[#This Row],[final_res]]</f>
        <v>0</v>
      </c>
      <c r="CC628">
        <f>Granger_Inventory[[#This Row],[final_land]]+Granger_Inventory[[#This Row],[final_imp]]+Granger_Inventory[[#This Row],[crop_value]]</f>
        <v>31200</v>
      </c>
      <c r="CE628" t="str">
        <f t="shared" si="10"/>
        <v>update valuation set market_land =31200, market_bldg=0, market_total =31200, market_mdno =402, market_date ='9/10/2023' where link_id = (select link_id from parcel where parcel_year = '2024' and parcel_id = '21101533457');</v>
      </c>
    </row>
    <row r="629" spans="1:83" x14ac:dyDescent="0.25">
      <c r="A629">
        <v>21101533460</v>
      </c>
      <c r="B629">
        <v>0.15</v>
      </c>
      <c r="C629">
        <v>6385</v>
      </c>
      <c r="D629" t="s">
        <v>137</v>
      </c>
      <c r="E629" t="s">
        <v>54</v>
      </c>
      <c r="F629" t="s">
        <v>54</v>
      </c>
      <c r="G629">
        <v>3</v>
      </c>
      <c r="H629" t="s">
        <v>55</v>
      </c>
      <c r="I629">
        <v>0</v>
      </c>
      <c r="J629">
        <v>25800</v>
      </c>
      <c r="K629">
        <v>0.15</v>
      </c>
      <c r="L62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629">
        <v>0</v>
      </c>
      <c r="N629">
        <v>0</v>
      </c>
      <c r="O629">
        <v>0</v>
      </c>
      <c r="P629">
        <v>47108.068500000001</v>
      </c>
      <c r="Q629">
        <v>122298</v>
      </c>
      <c r="R629">
        <f>(Granger_Inventory[[#This Row],[ln_acres]]*Granger_Inventory[[#This Row],[coeff]])+Granger_Inventory[[#This Row],[const]]</f>
        <v>32928.341799276939</v>
      </c>
      <c r="AY629">
        <v>0</v>
      </c>
      <c r="AZ629">
        <v>0</v>
      </c>
      <c r="BE629">
        <v>0</v>
      </c>
      <c r="BF629">
        <v>15000</v>
      </c>
      <c r="BG629">
        <v>0</v>
      </c>
      <c r="BH629" s="8">
        <f>Granger_Inventory[[#This Row],[land_extract]]*Lookups!$B$3</f>
        <v>19616.42740275669</v>
      </c>
      <c r="BI629" s="8">
        <f>IF(Granger_Inventory[[#This Row],[bldg_style]]="",0,Lookups!$B$2)</f>
        <v>0</v>
      </c>
      <c r="BJ629" s="8">
        <f>_xlfn.IFNA(VLOOKUP(Granger_Inventory[[#This Row],[quality]],Lookups!$H$2:$J$14,3,FALSE),0)</f>
        <v>0</v>
      </c>
      <c r="BK629" s="8">
        <f>_xlfn.IFNA(VLOOKUP(Granger_Inventory[[#This Row],[condition]],Lookups!$H$17:$J$24,3,FALSE),0)</f>
        <v>0</v>
      </c>
      <c r="BL629" s="8">
        <f>Granger_Inventory[[#This Row],[Age]]*Lookups!$B$16</f>
        <v>0</v>
      </c>
      <c r="BM629" s="8">
        <f>Granger_Inventory[[#This Row],[living_area]]*Lookups!$B$17</f>
        <v>0</v>
      </c>
      <c r="BN629" s="8">
        <f>(Granger_Inventory[[#This Row],[att_gar]]+Granger_Inventory[[#This Row],[blt_gar]])*Lookups!$B$18</f>
        <v>0</v>
      </c>
      <c r="BO629" s="8">
        <f>Granger_Inventory[[#This Row],[Patio]]*Lookups!$B$19</f>
        <v>0</v>
      </c>
      <c r="BP629" s="8">
        <f>SUM(Granger_Inventory[[#This Row],[Intercept]:[Patio_Value]])*Granger_Inventory[[#This Row],[res_pct]]</f>
        <v>0</v>
      </c>
      <c r="BQ629" s="8">
        <f>Granger_Inventory[[#This Row],[land_value]]</f>
        <v>19616.42740275669</v>
      </c>
      <c r="BR629" s="4">
        <f>_xlfn.IFNA(VLOOKUP(Granger_Inventory[[#This Row],[quality]],Lookups!$A$25:$C$35,3,FALSE),1)</f>
        <v>1</v>
      </c>
      <c r="BS629" s="4">
        <f>_xlfn.IFNA(VLOOKUP(Granger_Inventory[[#This Row],[condition]],Lookups!$A$38:$C$45,3,FALSE),1)</f>
        <v>1</v>
      </c>
      <c r="BT629" s="4">
        <f>IF(Granger_Inventory[[#This Row],[decade]]="",1,_xlfn.IFNA(VLOOKUP(Granger_Inventory[[#This Row],[decade]],Lookups!$G$28:$I$42,3,FALSE),1))</f>
        <v>1</v>
      </c>
      <c r="BU629" s="4">
        <f>_xlfn.IFNA(VLOOKUP(Granger_Inventory[[#This Row],[living_area_range]],Lookups!$A$48:$C$57,3,FALSE),1)</f>
        <v>1</v>
      </c>
      <c r="BV629" s="4">
        <f>AVERAGE(Granger_Inventory[[#This Row],[qual_adj]:[living_range_adj]])</f>
        <v>1</v>
      </c>
      <c r="BW629" s="8">
        <f>(Granger_Inventory[[#This Row],[sum_land]]-IF(Granger_Inventory[[#This Row],[no_utilities]]=1,12000,0))/IF(Granger_Inventory[[#This Row],[unbuildable]]=1,2,1)</f>
        <v>19616.42740275669</v>
      </c>
      <c r="BX629" s="8">
        <f>Granger_Inventory[[#This Row],[pre_res]]*Granger_Inventory[[#This Row],[overall_adj]]</f>
        <v>0</v>
      </c>
      <c r="BY62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629">
        <f>ROUND(Granger_Inventory[[#This Row],[detatched_value]]*Lookups!$I$45,-2)</f>
        <v>0</v>
      </c>
      <c r="CA62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29">
        <f>Granger_Inventory[[#This Row],[final_det]]+Granger_Inventory[[#This Row],[final_res]]</f>
        <v>0</v>
      </c>
      <c r="CC629">
        <f>Granger_Inventory[[#This Row],[final_land]]+Granger_Inventory[[#This Row],[final_imp]]+Granger_Inventory[[#This Row],[crop_value]]</f>
        <v>18600</v>
      </c>
      <c r="CE629" t="str">
        <f t="shared" si="10"/>
        <v>update valuation set market_land =18600, market_bldg=0, market_total =18600, market_mdno =402, market_date ='9/10/2023' where link_id = (select link_id from parcel where parcel_year = '2024' and parcel_id = '21101533460');</v>
      </c>
    </row>
    <row r="630" spans="1:83" x14ac:dyDescent="0.25">
      <c r="A630">
        <v>21101533464</v>
      </c>
      <c r="B630">
        <v>0.15</v>
      </c>
      <c r="C630">
        <v>6577</v>
      </c>
      <c r="D630" t="s">
        <v>137</v>
      </c>
      <c r="E630" t="s">
        <v>54</v>
      </c>
      <c r="F630" t="s">
        <v>54</v>
      </c>
      <c r="G630">
        <v>3</v>
      </c>
      <c r="H630" t="s">
        <v>55</v>
      </c>
      <c r="I630">
        <v>2700</v>
      </c>
      <c r="J630">
        <v>25800</v>
      </c>
      <c r="K630">
        <v>0.15</v>
      </c>
      <c r="L630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630">
        <v>0</v>
      </c>
      <c r="N630">
        <v>0</v>
      </c>
      <c r="O630">
        <v>0</v>
      </c>
      <c r="P630">
        <v>47108.068500000001</v>
      </c>
      <c r="Q630">
        <v>122298</v>
      </c>
      <c r="R630">
        <f>(Granger_Inventory[[#This Row],[ln_acres]]*Granger_Inventory[[#This Row],[coeff]])+Granger_Inventory[[#This Row],[const]]</f>
        <v>32928.341799276939</v>
      </c>
      <c r="AY630">
        <v>0</v>
      </c>
      <c r="AZ630">
        <v>3100</v>
      </c>
      <c r="BE630">
        <v>0</v>
      </c>
      <c r="BF630">
        <v>15000</v>
      </c>
      <c r="BG630">
        <v>0</v>
      </c>
      <c r="BH630" s="8">
        <f>Granger_Inventory[[#This Row],[land_extract]]*Lookups!$B$3</f>
        <v>19616.42740275669</v>
      </c>
      <c r="BI630" s="8">
        <f>IF(Granger_Inventory[[#This Row],[bldg_style]]="",0,Lookups!$B$2)</f>
        <v>0</v>
      </c>
      <c r="BJ630" s="8">
        <f>_xlfn.IFNA(VLOOKUP(Granger_Inventory[[#This Row],[quality]],Lookups!$H$2:$J$14,3,FALSE),0)</f>
        <v>0</v>
      </c>
      <c r="BK630" s="8">
        <f>_xlfn.IFNA(VLOOKUP(Granger_Inventory[[#This Row],[condition]],Lookups!$H$17:$J$24,3,FALSE),0)</f>
        <v>0</v>
      </c>
      <c r="BL630" s="8">
        <f>Granger_Inventory[[#This Row],[Age]]*Lookups!$B$16</f>
        <v>0</v>
      </c>
      <c r="BM630" s="8">
        <f>Granger_Inventory[[#This Row],[living_area]]*Lookups!$B$17</f>
        <v>0</v>
      </c>
      <c r="BN630" s="8">
        <f>(Granger_Inventory[[#This Row],[att_gar]]+Granger_Inventory[[#This Row],[blt_gar]])*Lookups!$B$18</f>
        <v>0</v>
      </c>
      <c r="BO630" s="8">
        <f>Granger_Inventory[[#This Row],[Patio]]*Lookups!$B$19</f>
        <v>0</v>
      </c>
      <c r="BP630" s="8">
        <f>SUM(Granger_Inventory[[#This Row],[Intercept]:[Patio_Value]])*Granger_Inventory[[#This Row],[res_pct]]</f>
        <v>0</v>
      </c>
      <c r="BQ630" s="8">
        <f>Granger_Inventory[[#This Row],[land_value]]</f>
        <v>19616.42740275669</v>
      </c>
      <c r="BR630" s="4">
        <f>_xlfn.IFNA(VLOOKUP(Granger_Inventory[[#This Row],[quality]],Lookups!$A$25:$C$35,3,FALSE),1)</f>
        <v>1</v>
      </c>
      <c r="BS630" s="4">
        <f>_xlfn.IFNA(VLOOKUP(Granger_Inventory[[#This Row],[condition]],Lookups!$A$38:$C$45,3,FALSE),1)</f>
        <v>1</v>
      </c>
      <c r="BT630" s="4">
        <f>IF(Granger_Inventory[[#This Row],[decade]]="",1,_xlfn.IFNA(VLOOKUP(Granger_Inventory[[#This Row],[decade]],Lookups!$G$28:$I$42,3,FALSE),1))</f>
        <v>1</v>
      </c>
      <c r="BU630" s="4">
        <f>_xlfn.IFNA(VLOOKUP(Granger_Inventory[[#This Row],[living_area_range]],Lookups!$A$48:$C$57,3,FALSE),1)</f>
        <v>1</v>
      </c>
      <c r="BV630" s="4">
        <f>AVERAGE(Granger_Inventory[[#This Row],[qual_adj]:[living_range_adj]])</f>
        <v>1</v>
      </c>
      <c r="BW630" s="8">
        <f>(Granger_Inventory[[#This Row],[sum_land]]-IF(Granger_Inventory[[#This Row],[no_utilities]]=1,12000,0))/IF(Granger_Inventory[[#This Row],[unbuildable]]=1,2,1)</f>
        <v>19616.42740275669</v>
      </c>
      <c r="BX630" s="8">
        <f>Granger_Inventory[[#This Row],[pre_res]]*Granger_Inventory[[#This Row],[overall_adj]]</f>
        <v>0</v>
      </c>
      <c r="BY630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630">
        <f>ROUND(Granger_Inventory[[#This Row],[detatched_value]]*Lookups!$I$45,-2)</f>
        <v>2900</v>
      </c>
      <c r="CA63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0">
        <f>Granger_Inventory[[#This Row],[final_det]]+Granger_Inventory[[#This Row],[final_res]]</f>
        <v>2900</v>
      </c>
      <c r="CC630">
        <f>Granger_Inventory[[#This Row],[final_land]]+Granger_Inventory[[#This Row],[final_imp]]+Granger_Inventory[[#This Row],[crop_value]]</f>
        <v>21500</v>
      </c>
      <c r="CE630" t="str">
        <f t="shared" si="10"/>
        <v>update valuation set market_land =18600, market_bldg=2900, market_total =21500, market_mdno =402, market_date ='9/10/2023' where link_id = (select link_id from parcel where parcel_year = '2024' and parcel_id = '21101533464');</v>
      </c>
    </row>
    <row r="631" spans="1:83" x14ac:dyDescent="0.25">
      <c r="A631">
        <v>21101534012</v>
      </c>
      <c r="B631">
        <v>0.38</v>
      </c>
      <c r="C631">
        <v>16398</v>
      </c>
      <c r="D631" t="s">
        <v>137</v>
      </c>
      <c r="E631" t="s">
        <v>54</v>
      </c>
      <c r="F631" t="s">
        <v>54</v>
      </c>
      <c r="G631">
        <v>3</v>
      </c>
      <c r="H631" t="s">
        <v>55</v>
      </c>
      <c r="I631">
        <v>0</v>
      </c>
      <c r="J631">
        <v>31200</v>
      </c>
      <c r="K631">
        <v>0.38</v>
      </c>
      <c r="L631">
        <f>IF(Granger_Inventory[[#This Row],[parcel_acres]]-Granger_Inventory[[#This Row],[non_valued_acres]] =0,0,LN(Granger_Inventory[[#This Row],[parcel_acres]]-Granger_Inventory[[#This Row],[non_valued_acres]]))</f>
        <v>-0.96758402626170559</v>
      </c>
      <c r="M631">
        <v>0</v>
      </c>
      <c r="N631">
        <v>0</v>
      </c>
      <c r="O631">
        <v>0</v>
      </c>
      <c r="P631">
        <v>47108.068500000001</v>
      </c>
      <c r="Q631">
        <v>122298</v>
      </c>
      <c r="R631">
        <f>(Granger_Inventory[[#This Row],[ln_acres]]*Granger_Inventory[[#This Row],[coeff]])+Granger_Inventory[[#This Row],[const]]</f>
        <v>76716.985411357775</v>
      </c>
      <c r="AY631">
        <v>0</v>
      </c>
      <c r="AZ631">
        <v>0</v>
      </c>
      <c r="BE631">
        <v>0</v>
      </c>
      <c r="BF631">
        <v>15000</v>
      </c>
      <c r="BG631">
        <v>0</v>
      </c>
      <c r="BH631" s="8">
        <f>Granger_Inventory[[#This Row],[land_extract]]*Lookups!$B$3</f>
        <v>45702.671092696495</v>
      </c>
      <c r="BI631" s="8">
        <f>IF(Granger_Inventory[[#This Row],[bldg_style]]="",0,Lookups!$B$2)</f>
        <v>0</v>
      </c>
      <c r="BJ631" s="8">
        <f>_xlfn.IFNA(VLOOKUP(Granger_Inventory[[#This Row],[quality]],Lookups!$H$2:$J$14,3,FALSE),0)</f>
        <v>0</v>
      </c>
      <c r="BK631" s="8">
        <f>_xlfn.IFNA(VLOOKUP(Granger_Inventory[[#This Row],[condition]],Lookups!$H$17:$J$24,3,FALSE),0)</f>
        <v>0</v>
      </c>
      <c r="BL631" s="8">
        <f>Granger_Inventory[[#This Row],[Age]]*Lookups!$B$16</f>
        <v>0</v>
      </c>
      <c r="BM631" s="8">
        <f>Granger_Inventory[[#This Row],[living_area]]*Lookups!$B$17</f>
        <v>0</v>
      </c>
      <c r="BN631" s="8">
        <f>(Granger_Inventory[[#This Row],[att_gar]]+Granger_Inventory[[#This Row],[blt_gar]])*Lookups!$B$18</f>
        <v>0</v>
      </c>
      <c r="BO631" s="8">
        <f>Granger_Inventory[[#This Row],[Patio]]*Lookups!$B$19</f>
        <v>0</v>
      </c>
      <c r="BP631" s="8">
        <f>SUM(Granger_Inventory[[#This Row],[Intercept]:[Patio_Value]])*Granger_Inventory[[#This Row],[res_pct]]</f>
        <v>0</v>
      </c>
      <c r="BQ631" s="8">
        <f>Granger_Inventory[[#This Row],[land_value]]</f>
        <v>45702.671092696495</v>
      </c>
      <c r="BR631" s="4">
        <f>_xlfn.IFNA(VLOOKUP(Granger_Inventory[[#This Row],[quality]],Lookups!$A$25:$C$35,3,FALSE),1)</f>
        <v>1</v>
      </c>
      <c r="BS631" s="4">
        <f>_xlfn.IFNA(VLOOKUP(Granger_Inventory[[#This Row],[condition]],Lookups!$A$38:$C$45,3,FALSE),1)</f>
        <v>1</v>
      </c>
      <c r="BT631" s="4">
        <f>IF(Granger_Inventory[[#This Row],[decade]]="",1,_xlfn.IFNA(VLOOKUP(Granger_Inventory[[#This Row],[decade]],Lookups!$G$28:$I$42,3,FALSE),1))</f>
        <v>1</v>
      </c>
      <c r="BU631" s="4">
        <f>_xlfn.IFNA(VLOOKUP(Granger_Inventory[[#This Row],[living_area_range]],Lookups!$A$48:$C$57,3,FALSE),1)</f>
        <v>1</v>
      </c>
      <c r="BV631" s="4">
        <f>AVERAGE(Granger_Inventory[[#This Row],[qual_adj]:[living_range_adj]])</f>
        <v>1</v>
      </c>
      <c r="BW631" s="8">
        <f>(Granger_Inventory[[#This Row],[sum_land]]-IF(Granger_Inventory[[#This Row],[no_utilities]]=1,12000,0))/IF(Granger_Inventory[[#This Row],[unbuildable]]=1,2,1)</f>
        <v>45702.671092696495</v>
      </c>
      <c r="BX631" s="8">
        <f>Granger_Inventory[[#This Row],[pre_res]]*Granger_Inventory[[#This Row],[overall_adj]]</f>
        <v>0</v>
      </c>
      <c r="BY631">
        <f>IF(ROUND(Granger_Inventory[[#This Row],[adj_land]]*Lookups!$I$45,-2)&lt;Granger_Inventory[[#This Row],[min_land]],Granger_Inventory[[#This Row],[min_land]],ROUND(Granger_Inventory[[#This Row],[adj_land]]*Lookups!$I$45,-2))</f>
        <v>43400</v>
      </c>
      <c r="BZ631">
        <f>ROUND(Granger_Inventory[[#This Row],[detatched_value]]*Lookups!$I$45,-2)</f>
        <v>0</v>
      </c>
      <c r="CA63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1">
        <f>Granger_Inventory[[#This Row],[final_det]]+Granger_Inventory[[#This Row],[final_res]]</f>
        <v>0</v>
      </c>
      <c r="CC631">
        <f>Granger_Inventory[[#This Row],[final_land]]+Granger_Inventory[[#This Row],[final_imp]]+Granger_Inventory[[#This Row],[crop_value]]</f>
        <v>43400</v>
      </c>
      <c r="CE631" t="str">
        <f t="shared" si="10"/>
        <v>update valuation set market_land =43400, market_bldg=0, market_total =43400, market_mdno =402, market_date ='9/10/2023' where link_id = (select link_id from parcel where parcel_year = '2024' and parcel_id = '21101534012');</v>
      </c>
    </row>
    <row r="632" spans="1:83" x14ac:dyDescent="0.25">
      <c r="A632">
        <v>21101534023</v>
      </c>
      <c r="B632">
        <v>1.1399999999999999</v>
      </c>
      <c r="C632">
        <v>49625</v>
      </c>
      <c r="D632" t="s">
        <v>137</v>
      </c>
      <c r="E632" t="s">
        <v>54</v>
      </c>
      <c r="F632" t="s">
        <v>54</v>
      </c>
      <c r="G632">
        <v>3</v>
      </c>
      <c r="H632" t="s">
        <v>55</v>
      </c>
      <c r="I632">
        <v>0</v>
      </c>
      <c r="J632">
        <v>37600</v>
      </c>
      <c r="K632">
        <v>1.1399999999999999</v>
      </c>
      <c r="L632">
        <f>IF(Granger_Inventory[[#This Row],[parcel_acres]]-Granger_Inventory[[#This Row],[non_valued_acres]] =0,0,LN(Granger_Inventory[[#This Row],[parcel_acres]]-Granger_Inventory[[#This Row],[non_valued_acres]]))</f>
        <v>0.131028262406404</v>
      </c>
      <c r="M632">
        <v>0</v>
      </c>
      <c r="N632">
        <v>0</v>
      </c>
      <c r="O632">
        <v>1</v>
      </c>
      <c r="P632">
        <v>47108.068500000001</v>
      </c>
      <c r="Q632">
        <v>122298</v>
      </c>
      <c r="R632">
        <f>(Granger_Inventory[[#This Row],[ln_acres]]*Granger_Inventory[[#This Row],[coeff]])+Granger_Inventory[[#This Row],[const]]</f>
        <v>128470.48836087686</v>
      </c>
      <c r="AY632">
        <v>0</v>
      </c>
      <c r="AZ632">
        <v>0</v>
      </c>
      <c r="BE632">
        <v>0</v>
      </c>
      <c r="BF632">
        <v>3000</v>
      </c>
      <c r="BG632">
        <v>0</v>
      </c>
      <c r="BH632" s="8">
        <f>Granger_Inventory[[#This Row],[land_extract]]*Lookups!$B$3</f>
        <v>76533.826807615857</v>
      </c>
      <c r="BI632" s="8">
        <f>IF(Granger_Inventory[[#This Row],[bldg_style]]="",0,Lookups!$B$2)</f>
        <v>0</v>
      </c>
      <c r="BJ632" s="8">
        <f>_xlfn.IFNA(VLOOKUP(Granger_Inventory[[#This Row],[quality]],Lookups!$H$2:$J$14,3,FALSE),0)</f>
        <v>0</v>
      </c>
      <c r="BK632" s="8">
        <f>_xlfn.IFNA(VLOOKUP(Granger_Inventory[[#This Row],[condition]],Lookups!$H$17:$J$24,3,FALSE),0)</f>
        <v>0</v>
      </c>
      <c r="BL632" s="8">
        <f>Granger_Inventory[[#This Row],[Age]]*Lookups!$B$16</f>
        <v>0</v>
      </c>
      <c r="BM632" s="8">
        <f>Granger_Inventory[[#This Row],[living_area]]*Lookups!$B$17</f>
        <v>0</v>
      </c>
      <c r="BN632" s="8">
        <f>(Granger_Inventory[[#This Row],[att_gar]]+Granger_Inventory[[#This Row],[blt_gar]])*Lookups!$B$18</f>
        <v>0</v>
      </c>
      <c r="BO632" s="8">
        <f>Granger_Inventory[[#This Row],[Patio]]*Lookups!$B$19</f>
        <v>0</v>
      </c>
      <c r="BP632" s="8">
        <f>SUM(Granger_Inventory[[#This Row],[Intercept]:[Patio_Value]])*Granger_Inventory[[#This Row],[res_pct]]</f>
        <v>0</v>
      </c>
      <c r="BQ632" s="8">
        <f>Granger_Inventory[[#This Row],[land_value]]</f>
        <v>76533.826807615857</v>
      </c>
      <c r="BR632" s="4">
        <f>_xlfn.IFNA(VLOOKUP(Granger_Inventory[[#This Row],[quality]],Lookups!$A$25:$C$35,3,FALSE),1)</f>
        <v>1</v>
      </c>
      <c r="BS632" s="4">
        <f>_xlfn.IFNA(VLOOKUP(Granger_Inventory[[#This Row],[condition]],Lookups!$A$38:$C$45,3,FALSE),1)</f>
        <v>1</v>
      </c>
      <c r="BT632" s="4">
        <f>IF(Granger_Inventory[[#This Row],[decade]]="",1,_xlfn.IFNA(VLOOKUP(Granger_Inventory[[#This Row],[decade]],Lookups!$G$28:$I$42,3,FALSE),1))</f>
        <v>1</v>
      </c>
      <c r="BU632" s="4">
        <f>_xlfn.IFNA(VLOOKUP(Granger_Inventory[[#This Row],[living_area_range]],Lookups!$A$48:$C$57,3,FALSE),1)</f>
        <v>1</v>
      </c>
      <c r="BV632" s="4">
        <f>AVERAGE(Granger_Inventory[[#This Row],[qual_adj]:[living_range_adj]])</f>
        <v>1</v>
      </c>
      <c r="BW632" s="8">
        <f>(Granger_Inventory[[#This Row],[sum_land]]-IF(Granger_Inventory[[#This Row],[no_utilities]]=1,12000,0))/IF(Granger_Inventory[[#This Row],[unbuildable]]=1,2,1)</f>
        <v>64533.826807615857</v>
      </c>
      <c r="BX632" s="8">
        <f>Granger_Inventory[[#This Row],[pre_res]]*Granger_Inventory[[#This Row],[overall_adj]]</f>
        <v>0</v>
      </c>
      <c r="BY632">
        <f>IF(ROUND(Granger_Inventory[[#This Row],[adj_land]]*Lookups!$I$45,-2)&lt;Granger_Inventory[[#This Row],[min_land]],Granger_Inventory[[#This Row],[min_land]],ROUND(Granger_Inventory[[#This Row],[adj_land]]*Lookups!$I$45,-2))</f>
        <v>61300</v>
      </c>
      <c r="BZ632">
        <f>ROUND(Granger_Inventory[[#This Row],[detatched_value]]*Lookups!$I$45,-2)</f>
        <v>0</v>
      </c>
      <c r="CA63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2">
        <f>Granger_Inventory[[#This Row],[final_det]]+Granger_Inventory[[#This Row],[final_res]]</f>
        <v>0</v>
      </c>
      <c r="CC632">
        <f>Granger_Inventory[[#This Row],[final_land]]+Granger_Inventory[[#This Row],[final_imp]]+Granger_Inventory[[#This Row],[crop_value]]</f>
        <v>61300</v>
      </c>
      <c r="CE632" t="str">
        <f t="shared" si="10"/>
        <v>update valuation set market_land =61300, market_bldg=0, market_total =61300, market_mdno =402, market_date ='9/10/2023' where link_id = (select link_id from parcel where parcel_year = '2024' and parcel_id = '21101534023');</v>
      </c>
    </row>
    <row r="633" spans="1:83" x14ac:dyDescent="0.25">
      <c r="A633">
        <v>21101534030</v>
      </c>
      <c r="B633">
        <v>0.48</v>
      </c>
      <c r="C633">
        <v>20817</v>
      </c>
      <c r="D633" t="s">
        <v>137</v>
      </c>
      <c r="E633" t="s">
        <v>54</v>
      </c>
      <c r="F633" t="s">
        <v>54</v>
      </c>
      <c r="G633">
        <v>3</v>
      </c>
      <c r="H633" t="s">
        <v>55</v>
      </c>
      <c r="I633">
        <v>0</v>
      </c>
      <c r="J633">
        <v>32600</v>
      </c>
      <c r="K633">
        <v>0.48</v>
      </c>
      <c r="L633">
        <f>IF(Granger_Inventory[[#This Row],[parcel_acres]]-Granger_Inventory[[#This Row],[non_valued_acres]] =0,0,LN(Granger_Inventory[[#This Row],[parcel_acres]]-Granger_Inventory[[#This Row],[non_valued_acres]]))</f>
        <v>-0.73396917508020043</v>
      </c>
      <c r="M633">
        <v>0</v>
      </c>
      <c r="N633">
        <v>0</v>
      </c>
      <c r="O633">
        <v>1</v>
      </c>
      <c r="P633">
        <v>47108.068500000001</v>
      </c>
      <c r="Q633">
        <v>122298</v>
      </c>
      <c r="R633">
        <f>(Granger_Inventory[[#This Row],[ln_acres]]*Granger_Inventory[[#This Row],[coeff]])+Granger_Inventory[[#This Row],[const]]</f>
        <v>87722.129823433424</v>
      </c>
      <c r="AY633">
        <v>0</v>
      </c>
      <c r="AZ633">
        <v>0</v>
      </c>
      <c r="BE633">
        <v>0</v>
      </c>
      <c r="BF633">
        <v>3000</v>
      </c>
      <c r="BG633">
        <v>0</v>
      </c>
      <c r="BH633" s="8">
        <f>Granger_Inventory[[#This Row],[land_extract]]*Lookups!$B$3</f>
        <v>52258.774577417855</v>
      </c>
      <c r="BI633" s="8">
        <f>IF(Granger_Inventory[[#This Row],[bldg_style]]="",0,Lookups!$B$2)</f>
        <v>0</v>
      </c>
      <c r="BJ633" s="8">
        <f>_xlfn.IFNA(VLOOKUP(Granger_Inventory[[#This Row],[quality]],Lookups!$H$2:$J$14,3,FALSE),0)</f>
        <v>0</v>
      </c>
      <c r="BK633" s="8">
        <f>_xlfn.IFNA(VLOOKUP(Granger_Inventory[[#This Row],[condition]],Lookups!$H$17:$J$24,3,FALSE),0)</f>
        <v>0</v>
      </c>
      <c r="BL633" s="8">
        <f>Granger_Inventory[[#This Row],[Age]]*Lookups!$B$16</f>
        <v>0</v>
      </c>
      <c r="BM633" s="8">
        <f>Granger_Inventory[[#This Row],[living_area]]*Lookups!$B$17</f>
        <v>0</v>
      </c>
      <c r="BN633" s="8">
        <f>(Granger_Inventory[[#This Row],[att_gar]]+Granger_Inventory[[#This Row],[blt_gar]])*Lookups!$B$18</f>
        <v>0</v>
      </c>
      <c r="BO633" s="8">
        <f>Granger_Inventory[[#This Row],[Patio]]*Lookups!$B$19</f>
        <v>0</v>
      </c>
      <c r="BP633" s="8">
        <f>SUM(Granger_Inventory[[#This Row],[Intercept]:[Patio_Value]])*Granger_Inventory[[#This Row],[res_pct]]</f>
        <v>0</v>
      </c>
      <c r="BQ633" s="8">
        <f>Granger_Inventory[[#This Row],[land_value]]</f>
        <v>52258.774577417855</v>
      </c>
      <c r="BR633" s="4">
        <f>_xlfn.IFNA(VLOOKUP(Granger_Inventory[[#This Row],[quality]],Lookups!$A$25:$C$35,3,FALSE),1)</f>
        <v>1</v>
      </c>
      <c r="BS633" s="4">
        <f>_xlfn.IFNA(VLOOKUP(Granger_Inventory[[#This Row],[condition]],Lookups!$A$38:$C$45,3,FALSE),1)</f>
        <v>1</v>
      </c>
      <c r="BT633" s="4">
        <f>IF(Granger_Inventory[[#This Row],[decade]]="",1,_xlfn.IFNA(VLOOKUP(Granger_Inventory[[#This Row],[decade]],Lookups!$G$28:$I$42,3,FALSE),1))</f>
        <v>1</v>
      </c>
      <c r="BU633" s="4">
        <f>_xlfn.IFNA(VLOOKUP(Granger_Inventory[[#This Row],[living_area_range]],Lookups!$A$48:$C$57,3,FALSE),1)</f>
        <v>1</v>
      </c>
      <c r="BV633" s="4">
        <f>AVERAGE(Granger_Inventory[[#This Row],[qual_adj]:[living_range_adj]])</f>
        <v>1</v>
      </c>
      <c r="BW633" s="8">
        <f>(Granger_Inventory[[#This Row],[sum_land]]-IF(Granger_Inventory[[#This Row],[no_utilities]]=1,12000,0))/IF(Granger_Inventory[[#This Row],[unbuildable]]=1,2,1)</f>
        <v>40258.774577417855</v>
      </c>
      <c r="BX633" s="8">
        <f>Granger_Inventory[[#This Row],[pre_res]]*Granger_Inventory[[#This Row],[overall_adj]]</f>
        <v>0</v>
      </c>
      <c r="BY633">
        <f>IF(ROUND(Granger_Inventory[[#This Row],[adj_land]]*Lookups!$I$45,-2)&lt;Granger_Inventory[[#This Row],[min_land]],Granger_Inventory[[#This Row],[min_land]],ROUND(Granger_Inventory[[#This Row],[adj_land]]*Lookups!$I$45,-2))</f>
        <v>38200</v>
      </c>
      <c r="BZ633">
        <f>ROUND(Granger_Inventory[[#This Row],[detatched_value]]*Lookups!$I$45,-2)</f>
        <v>0</v>
      </c>
      <c r="CA63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3">
        <f>Granger_Inventory[[#This Row],[final_det]]+Granger_Inventory[[#This Row],[final_res]]</f>
        <v>0</v>
      </c>
      <c r="CC633">
        <f>Granger_Inventory[[#This Row],[final_land]]+Granger_Inventory[[#This Row],[final_imp]]+Granger_Inventory[[#This Row],[crop_value]]</f>
        <v>38200</v>
      </c>
      <c r="CE633" t="str">
        <f t="shared" si="10"/>
        <v>update valuation set market_land =38200, market_bldg=0, market_total =38200, market_mdno =402, market_date ='9/10/2023' where link_id = (select link_id from parcel where parcel_year = '2024' and parcel_id = '21101534030');</v>
      </c>
    </row>
    <row r="634" spans="1:83" x14ac:dyDescent="0.25">
      <c r="A634">
        <v>21101543008</v>
      </c>
      <c r="B634">
        <v>1.81</v>
      </c>
      <c r="C634">
        <v>78975</v>
      </c>
      <c r="D634" t="s">
        <v>137</v>
      </c>
      <c r="E634" t="s">
        <v>54</v>
      </c>
      <c r="F634" t="s">
        <v>54</v>
      </c>
      <c r="G634">
        <v>3</v>
      </c>
      <c r="H634" t="s">
        <v>55</v>
      </c>
      <c r="I634">
        <v>0</v>
      </c>
      <c r="J634">
        <v>40300</v>
      </c>
      <c r="K634">
        <v>1.81</v>
      </c>
      <c r="L634">
        <f>IF(Granger_Inventory[[#This Row],[parcel_acres]]-Granger_Inventory[[#This Row],[non_valued_acres]] =0,0,LN(Granger_Inventory[[#This Row],[parcel_acres]]-Granger_Inventory[[#This Row],[non_valued_acres]]))</f>
        <v>0.59332684527773438</v>
      </c>
      <c r="M634">
        <v>0</v>
      </c>
      <c r="N634">
        <v>0</v>
      </c>
      <c r="O634">
        <v>1</v>
      </c>
      <c r="P634">
        <v>47108.068500000001</v>
      </c>
      <c r="Q634">
        <v>122298</v>
      </c>
      <c r="R634">
        <f>(Granger_Inventory[[#This Row],[ln_acres]]*Granger_Inventory[[#This Row],[coeff]])+Granger_Inventory[[#This Row],[const]]</f>
        <v>150248.4816702324</v>
      </c>
      <c r="AY634">
        <v>0</v>
      </c>
      <c r="AZ634">
        <v>0</v>
      </c>
      <c r="BE634">
        <v>0</v>
      </c>
      <c r="BF634">
        <v>3000</v>
      </c>
      <c r="BG634">
        <v>0</v>
      </c>
      <c r="BH634" s="8">
        <f>Granger_Inventory[[#This Row],[land_extract]]*Lookups!$B$3</f>
        <v>89507.648184192891</v>
      </c>
      <c r="BI634" s="8">
        <f>IF(Granger_Inventory[[#This Row],[bldg_style]]="",0,Lookups!$B$2)</f>
        <v>0</v>
      </c>
      <c r="BJ634" s="8">
        <f>_xlfn.IFNA(VLOOKUP(Granger_Inventory[[#This Row],[quality]],Lookups!$H$2:$J$14,3,FALSE),0)</f>
        <v>0</v>
      </c>
      <c r="BK634" s="8">
        <f>_xlfn.IFNA(VLOOKUP(Granger_Inventory[[#This Row],[condition]],Lookups!$H$17:$J$24,3,FALSE),0)</f>
        <v>0</v>
      </c>
      <c r="BL634" s="8">
        <f>Granger_Inventory[[#This Row],[Age]]*Lookups!$B$16</f>
        <v>0</v>
      </c>
      <c r="BM634" s="8">
        <f>Granger_Inventory[[#This Row],[living_area]]*Lookups!$B$17</f>
        <v>0</v>
      </c>
      <c r="BN634" s="8">
        <f>(Granger_Inventory[[#This Row],[att_gar]]+Granger_Inventory[[#This Row],[blt_gar]])*Lookups!$B$18</f>
        <v>0</v>
      </c>
      <c r="BO634" s="8">
        <f>Granger_Inventory[[#This Row],[Patio]]*Lookups!$B$19</f>
        <v>0</v>
      </c>
      <c r="BP634" s="8">
        <f>SUM(Granger_Inventory[[#This Row],[Intercept]:[Patio_Value]])*Granger_Inventory[[#This Row],[res_pct]]</f>
        <v>0</v>
      </c>
      <c r="BQ634" s="8">
        <f>Granger_Inventory[[#This Row],[land_value]]</f>
        <v>89507.648184192891</v>
      </c>
      <c r="BR634" s="4">
        <f>_xlfn.IFNA(VLOOKUP(Granger_Inventory[[#This Row],[quality]],Lookups!$A$25:$C$35,3,FALSE),1)</f>
        <v>1</v>
      </c>
      <c r="BS634" s="4">
        <f>_xlfn.IFNA(VLOOKUP(Granger_Inventory[[#This Row],[condition]],Lookups!$A$38:$C$45,3,FALSE),1)</f>
        <v>1</v>
      </c>
      <c r="BT634" s="4">
        <f>IF(Granger_Inventory[[#This Row],[decade]]="",1,_xlfn.IFNA(VLOOKUP(Granger_Inventory[[#This Row],[decade]],Lookups!$G$28:$I$42,3,FALSE),1))</f>
        <v>1</v>
      </c>
      <c r="BU634" s="4">
        <f>_xlfn.IFNA(VLOOKUP(Granger_Inventory[[#This Row],[living_area_range]],Lookups!$A$48:$C$57,3,FALSE),1)</f>
        <v>1</v>
      </c>
      <c r="BV634" s="4">
        <f>AVERAGE(Granger_Inventory[[#This Row],[qual_adj]:[living_range_adj]])</f>
        <v>1</v>
      </c>
      <c r="BW634" s="8">
        <f>(Granger_Inventory[[#This Row],[sum_land]]-IF(Granger_Inventory[[#This Row],[no_utilities]]=1,12000,0))/IF(Granger_Inventory[[#This Row],[unbuildable]]=1,2,1)</f>
        <v>77507.648184192891</v>
      </c>
      <c r="BX634" s="8">
        <f>Granger_Inventory[[#This Row],[pre_res]]*Granger_Inventory[[#This Row],[overall_adj]]</f>
        <v>0</v>
      </c>
      <c r="BY634">
        <f>IF(ROUND(Granger_Inventory[[#This Row],[adj_land]]*Lookups!$I$45,-2)&lt;Granger_Inventory[[#This Row],[min_land]],Granger_Inventory[[#This Row],[min_land]],ROUND(Granger_Inventory[[#This Row],[adj_land]]*Lookups!$I$45,-2))</f>
        <v>73600</v>
      </c>
      <c r="BZ634">
        <f>ROUND(Granger_Inventory[[#This Row],[detatched_value]]*Lookups!$I$45,-2)</f>
        <v>0</v>
      </c>
      <c r="CA63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4">
        <f>Granger_Inventory[[#This Row],[final_det]]+Granger_Inventory[[#This Row],[final_res]]</f>
        <v>0</v>
      </c>
      <c r="CC634">
        <f>Granger_Inventory[[#This Row],[final_land]]+Granger_Inventory[[#This Row],[final_imp]]+Granger_Inventory[[#This Row],[crop_value]]</f>
        <v>73600</v>
      </c>
      <c r="CE634" t="str">
        <f t="shared" si="10"/>
        <v>update valuation set market_land =73600, market_bldg=0, market_total =73600, market_mdno =402, market_date ='9/10/2023' where link_id = (select link_id from parcel where parcel_year = '2024' and parcel_id = '21101543008');</v>
      </c>
    </row>
    <row r="635" spans="1:83" x14ac:dyDescent="0.25">
      <c r="A635">
        <v>21101543400</v>
      </c>
      <c r="B635">
        <v>1.02</v>
      </c>
      <c r="C635">
        <v>44483</v>
      </c>
      <c r="D635" t="s">
        <v>137</v>
      </c>
      <c r="E635" t="s">
        <v>54</v>
      </c>
      <c r="F635" t="s">
        <v>54</v>
      </c>
      <c r="G635">
        <v>3</v>
      </c>
      <c r="H635" t="s">
        <v>55</v>
      </c>
      <c r="I635">
        <v>0</v>
      </c>
      <c r="J635">
        <v>36900</v>
      </c>
      <c r="K635">
        <v>1.02</v>
      </c>
      <c r="L635">
        <f>IF(Granger_Inventory[[#This Row],[parcel_acres]]-Granger_Inventory[[#This Row],[non_valued_acres]] =0,0,LN(Granger_Inventory[[#This Row],[parcel_acres]]-Granger_Inventory[[#This Row],[non_valued_acres]]))</f>
        <v>1.980262729617973E-2</v>
      </c>
      <c r="M635">
        <v>0</v>
      </c>
      <c r="N635">
        <v>0</v>
      </c>
      <c r="O635">
        <v>0</v>
      </c>
      <c r="P635">
        <v>47108.068500000001</v>
      </c>
      <c r="Q635">
        <v>122298</v>
      </c>
      <c r="R635">
        <f>(Granger_Inventory[[#This Row],[ln_acres]]*Granger_Inventory[[#This Row],[coeff]])+Granger_Inventory[[#This Row],[const]]</f>
        <v>123230.86352314841</v>
      </c>
      <c r="AY635">
        <v>0</v>
      </c>
      <c r="AZ635">
        <v>0</v>
      </c>
      <c r="BE635">
        <v>0</v>
      </c>
      <c r="BF635">
        <v>15000</v>
      </c>
      <c r="BG635">
        <v>0</v>
      </c>
      <c r="BH635" s="8">
        <f>Granger_Inventory[[#This Row],[land_extract]]*Lookups!$B$3</f>
        <v>73412.420911336027</v>
      </c>
      <c r="BI635" s="8">
        <f>IF(Granger_Inventory[[#This Row],[bldg_style]]="",0,Lookups!$B$2)</f>
        <v>0</v>
      </c>
      <c r="BJ635" s="8">
        <f>_xlfn.IFNA(VLOOKUP(Granger_Inventory[[#This Row],[quality]],Lookups!$H$2:$J$14,3,FALSE),0)</f>
        <v>0</v>
      </c>
      <c r="BK635" s="8">
        <f>_xlfn.IFNA(VLOOKUP(Granger_Inventory[[#This Row],[condition]],Lookups!$H$17:$J$24,3,FALSE),0)</f>
        <v>0</v>
      </c>
      <c r="BL635" s="8">
        <f>Granger_Inventory[[#This Row],[Age]]*Lookups!$B$16</f>
        <v>0</v>
      </c>
      <c r="BM635" s="8">
        <f>Granger_Inventory[[#This Row],[living_area]]*Lookups!$B$17</f>
        <v>0</v>
      </c>
      <c r="BN635" s="8">
        <f>(Granger_Inventory[[#This Row],[att_gar]]+Granger_Inventory[[#This Row],[blt_gar]])*Lookups!$B$18</f>
        <v>0</v>
      </c>
      <c r="BO635" s="8">
        <f>Granger_Inventory[[#This Row],[Patio]]*Lookups!$B$19</f>
        <v>0</v>
      </c>
      <c r="BP635" s="8">
        <f>SUM(Granger_Inventory[[#This Row],[Intercept]:[Patio_Value]])*Granger_Inventory[[#This Row],[res_pct]]</f>
        <v>0</v>
      </c>
      <c r="BQ635" s="8">
        <f>Granger_Inventory[[#This Row],[land_value]]</f>
        <v>73412.420911336027</v>
      </c>
      <c r="BR635" s="4">
        <f>_xlfn.IFNA(VLOOKUP(Granger_Inventory[[#This Row],[quality]],Lookups!$A$25:$C$35,3,FALSE),1)</f>
        <v>1</v>
      </c>
      <c r="BS635" s="4">
        <f>_xlfn.IFNA(VLOOKUP(Granger_Inventory[[#This Row],[condition]],Lookups!$A$38:$C$45,3,FALSE),1)</f>
        <v>1</v>
      </c>
      <c r="BT635" s="4">
        <f>IF(Granger_Inventory[[#This Row],[decade]]="",1,_xlfn.IFNA(VLOOKUP(Granger_Inventory[[#This Row],[decade]],Lookups!$G$28:$I$42,3,FALSE),1))</f>
        <v>1</v>
      </c>
      <c r="BU635" s="4">
        <f>_xlfn.IFNA(VLOOKUP(Granger_Inventory[[#This Row],[living_area_range]],Lookups!$A$48:$C$57,3,FALSE),1)</f>
        <v>1</v>
      </c>
      <c r="BV635" s="4">
        <f>AVERAGE(Granger_Inventory[[#This Row],[qual_adj]:[living_range_adj]])</f>
        <v>1</v>
      </c>
      <c r="BW635" s="8">
        <f>(Granger_Inventory[[#This Row],[sum_land]]-IF(Granger_Inventory[[#This Row],[no_utilities]]=1,12000,0))/IF(Granger_Inventory[[#This Row],[unbuildable]]=1,2,1)</f>
        <v>73412.420911336027</v>
      </c>
      <c r="BX635" s="8">
        <f>Granger_Inventory[[#This Row],[pre_res]]*Granger_Inventory[[#This Row],[overall_adj]]</f>
        <v>0</v>
      </c>
      <c r="BY635">
        <f>IF(ROUND(Granger_Inventory[[#This Row],[adj_land]]*Lookups!$I$45,-2)&lt;Granger_Inventory[[#This Row],[min_land]],Granger_Inventory[[#This Row],[min_land]],ROUND(Granger_Inventory[[#This Row],[adj_land]]*Lookups!$I$45,-2))</f>
        <v>69700</v>
      </c>
      <c r="BZ635">
        <f>ROUND(Granger_Inventory[[#This Row],[detatched_value]]*Lookups!$I$45,-2)</f>
        <v>0</v>
      </c>
      <c r="CA63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5">
        <f>Granger_Inventory[[#This Row],[final_det]]+Granger_Inventory[[#This Row],[final_res]]</f>
        <v>0</v>
      </c>
      <c r="CC635">
        <f>Granger_Inventory[[#This Row],[final_land]]+Granger_Inventory[[#This Row],[final_imp]]+Granger_Inventory[[#This Row],[crop_value]]</f>
        <v>69700</v>
      </c>
      <c r="CE635" t="str">
        <f t="shared" si="10"/>
        <v>update valuation set market_land =69700, market_bldg=0, market_total =69700, market_mdno =402, market_date ='9/10/2023' where link_id = (select link_id from parcel where parcel_year = '2024' and parcel_id = '21101543400');</v>
      </c>
    </row>
    <row r="636" spans="1:83" x14ac:dyDescent="0.25">
      <c r="A636">
        <v>21101543401</v>
      </c>
      <c r="B636">
        <v>1</v>
      </c>
      <c r="C636" t="s">
        <v>137</v>
      </c>
      <c r="D636" t="s">
        <v>137</v>
      </c>
      <c r="E636" t="s">
        <v>54</v>
      </c>
      <c r="F636" t="s">
        <v>54</v>
      </c>
      <c r="G636">
        <v>3</v>
      </c>
      <c r="H636" t="s">
        <v>55</v>
      </c>
      <c r="I636">
        <v>0</v>
      </c>
      <c r="J636">
        <v>36800</v>
      </c>
      <c r="K636">
        <v>1</v>
      </c>
      <c r="L636">
        <f>IF(Granger_Inventory[[#This Row],[parcel_acres]]-Granger_Inventory[[#This Row],[non_valued_acres]] =0,0,LN(Granger_Inventory[[#This Row],[parcel_acres]]-Granger_Inventory[[#This Row],[non_valued_acres]]))</f>
        <v>0</v>
      </c>
      <c r="M636">
        <v>0</v>
      </c>
      <c r="N636">
        <v>0</v>
      </c>
      <c r="O636">
        <v>0</v>
      </c>
      <c r="P636">
        <v>47108.068500000001</v>
      </c>
      <c r="Q636">
        <v>122298</v>
      </c>
      <c r="R636">
        <f>(Granger_Inventory[[#This Row],[ln_acres]]*Granger_Inventory[[#This Row],[coeff]])+Granger_Inventory[[#This Row],[const]]</f>
        <v>122298</v>
      </c>
      <c r="AY636">
        <v>0</v>
      </c>
      <c r="AZ636">
        <v>0</v>
      </c>
      <c r="BE636">
        <v>0</v>
      </c>
      <c r="BF636">
        <v>15000</v>
      </c>
      <c r="BG636">
        <v>0</v>
      </c>
      <c r="BH636" s="8">
        <f>Granger_Inventory[[#This Row],[land_extract]]*Lookups!$B$3</f>
        <v>72856.685378399998</v>
      </c>
      <c r="BI636" s="8">
        <f>IF(Granger_Inventory[[#This Row],[bldg_style]]="",0,Lookups!$B$2)</f>
        <v>0</v>
      </c>
      <c r="BJ636" s="8">
        <f>_xlfn.IFNA(VLOOKUP(Granger_Inventory[[#This Row],[quality]],Lookups!$H$2:$J$14,3,FALSE),0)</f>
        <v>0</v>
      </c>
      <c r="BK636" s="8">
        <f>_xlfn.IFNA(VLOOKUP(Granger_Inventory[[#This Row],[condition]],Lookups!$H$17:$J$24,3,FALSE),0)</f>
        <v>0</v>
      </c>
      <c r="BL636" s="8">
        <f>Granger_Inventory[[#This Row],[Age]]*Lookups!$B$16</f>
        <v>0</v>
      </c>
      <c r="BM636" s="8">
        <f>Granger_Inventory[[#This Row],[living_area]]*Lookups!$B$17</f>
        <v>0</v>
      </c>
      <c r="BN636" s="8">
        <f>(Granger_Inventory[[#This Row],[att_gar]]+Granger_Inventory[[#This Row],[blt_gar]])*Lookups!$B$18</f>
        <v>0</v>
      </c>
      <c r="BO636" s="8">
        <f>Granger_Inventory[[#This Row],[Patio]]*Lookups!$B$19</f>
        <v>0</v>
      </c>
      <c r="BP636" s="8">
        <f>SUM(Granger_Inventory[[#This Row],[Intercept]:[Patio_Value]])*Granger_Inventory[[#This Row],[res_pct]]</f>
        <v>0</v>
      </c>
      <c r="BQ636" s="8">
        <f>Granger_Inventory[[#This Row],[land_value]]</f>
        <v>72856.685378399998</v>
      </c>
      <c r="BR636" s="4">
        <f>_xlfn.IFNA(VLOOKUP(Granger_Inventory[[#This Row],[quality]],Lookups!$A$25:$C$35,3,FALSE),1)</f>
        <v>1</v>
      </c>
      <c r="BS636" s="4">
        <f>_xlfn.IFNA(VLOOKUP(Granger_Inventory[[#This Row],[condition]],Lookups!$A$38:$C$45,3,FALSE),1)</f>
        <v>1</v>
      </c>
      <c r="BT636" s="4">
        <f>IF(Granger_Inventory[[#This Row],[decade]]="",1,_xlfn.IFNA(VLOOKUP(Granger_Inventory[[#This Row],[decade]],Lookups!$G$28:$I$42,3,FALSE),1))</f>
        <v>1</v>
      </c>
      <c r="BU636" s="4">
        <f>_xlfn.IFNA(VLOOKUP(Granger_Inventory[[#This Row],[living_area_range]],Lookups!$A$48:$C$57,3,FALSE),1)</f>
        <v>1</v>
      </c>
      <c r="BV636" s="4">
        <f>AVERAGE(Granger_Inventory[[#This Row],[qual_adj]:[living_range_adj]])</f>
        <v>1</v>
      </c>
      <c r="BW636" s="8">
        <f>(Granger_Inventory[[#This Row],[sum_land]]-IF(Granger_Inventory[[#This Row],[no_utilities]]=1,12000,0))/IF(Granger_Inventory[[#This Row],[unbuildable]]=1,2,1)</f>
        <v>72856.685378399998</v>
      </c>
      <c r="BX636" s="8">
        <f>Granger_Inventory[[#This Row],[pre_res]]*Granger_Inventory[[#This Row],[overall_adj]]</f>
        <v>0</v>
      </c>
      <c r="BY636">
        <f>IF(ROUND(Granger_Inventory[[#This Row],[adj_land]]*Lookups!$I$45,-2)&lt;Granger_Inventory[[#This Row],[min_land]],Granger_Inventory[[#This Row],[min_land]],ROUND(Granger_Inventory[[#This Row],[adj_land]]*Lookups!$I$45,-2))</f>
        <v>69200</v>
      </c>
      <c r="BZ636">
        <f>ROUND(Granger_Inventory[[#This Row],[detatched_value]]*Lookups!$I$45,-2)</f>
        <v>0</v>
      </c>
      <c r="CA63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6">
        <f>Granger_Inventory[[#This Row],[final_det]]+Granger_Inventory[[#This Row],[final_res]]</f>
        <v>0</v>
      </c>
      <c r="CC636">
        <f>Granger_Inventory[[#This Row],[final_land]]+Granger_Inventory[[#This Row],[final_imp]]+Granger_Inventory[[#This Row],[crop_value]]</f>
        <v>69200</v>
      </c>
      <c r="CE636" t="str">
        <f t="shared" si="10"/>
        <v>update valuation set market_land =69200, market_bldg=0, market_total =69200, market_mdno =402, market_date ='9/10/2023' where link_id = (select link_id from parcel where parcel_year = '2024' and parcel_id = '21101543401');</v>
      </c>
    </row>
    <row r="637" spans="1:83" x14ac:dyDescent="0.25">
      <c r="A637">
        <v>21101543402</v>
      </c>
      <c r="B637">
        <v>0.99</v>
      </c>
      <c r="C637">
        <v>43336</v>
      </c>
      <c r="D637" t="s">
        <v>137</v>
      </c>
      <c r="E637" t="s">
        <v>54</v>
      </c>
      <c r="F637" t="s">
        <v>54</v>
      </c>
      <c r="G637">
        <v>3</v>
      </c>
      <c r="H637" t="s">
        <v>55</v>
      </c>
      <c r="I637">
        <v>0</v>
      </c>
      <c r="J637">
        <v>36800</v>
      </c>
      <c r="K637">
        <v>0.99</v>
      </c>
      <c r="L637">
        <f>IF(Granger_Inventory[[#This Row],[parcel_acres]]-Granger_Inventory[[#This Row],[non_valued_acres]] =0,0,LN(Granger_Inventory[[#This Row],[parcel_acres]]-Granger_Inventory[[#This Row],[non_valued_acres]]))</f>
        <v>-1.0050335853501451E-2</v>
      </c>
      <c r="M637">
        <v>0</v>
      </c>
      <c r="N637">
        <v>0</v>
      </c>
      <c r="O637">
        <v>0</v>
      </c>
      <c r="P637">
        <v>47108.068500000001</v>
      </c>
      <c r="Q637">
        <v>122298</v>
      </c>
      <c r="R637">
        <f>(Granger_Inventory[[#This Row],[ln_acres]]*Granger_Inventory[[#This Row],[coeff]])+Granger_Inventory[[#This Row],[const]]</f>
        <v>121824.54809016525</v>
      </c>
      <c r="AY637">
        <v>0</v>
      </c>
      <c r="AZ637">
        <v>0</v>
      </c>
      <c r="BE637">
        <v>0</v>
      </c>
      <c r="BF637">
        <v>15000</v>
      </c>
      <c r="BG637">
        <v>0</v>
      </c>
      <c r="BH637" s="8">
        <f>Granger_Inventory[[#This Row],[land_extract]]*Lookups!$B$3</f>
        <v>72574.63549339262</v>
      </c>
      <c r="BI637" s="8">
        <f>IF(Granger_Inventory[[#This Row],[bldg_style]]="",0,Lookups!$B$2)</f>
        <v>0</v>
      </c>
      <c r="BJ637" s="8">
        <f>_xlfn.IFNA(VLOOKUP(Granger_Inventory[[#This Row],[quality]],Lookups!$H$2:$J$14,3,FALSE),0)</f>
        <v>0</v>
      </c>
      <c r="BK637" s="8">
        <f>_xlfn.IFNA(VLOOKUP(Granger_Inventory[[#This Row],[condition]],Lookups!$H$17:$J$24,3,FALSE),0)</f>
        <v>0</v>
      </c>
      <c r="BL637" s="8">
        <f>Granger_Inventory[[#This Row],[Age]]*Lookups!$B$16</f>
        <v>0</v>
      </c>
      <c r="BM637" s="8">
        <f>Granger_Inventory[[#This Row],[living_area]]*Lookups!$B$17</f>
        <v>0</v>
      </c>
      <c r="BN637" s="8">
        <f>(Granger_Inventory[[#This Row],[att_gar]]+Granger_Inventory[[#This Row],[blt_gar]])*Lookups!$B$18</f>
        <v>0</v>
      </c>
      <c r="BO637" s="8">
        <f>Granger_Inventory[[#This Row],[Patio]]*Lookups!$B$19</f>
        <v>0</v>
      </c>
      <c r="BP637" s="8">
        <f>SUM(Granger_Inventory[[#This Row],[Intercept]:[Patio_Value]])*Granger_Inventory[[#This Row],[res_pct]]</f>
        <v>0</v>
      </c>
      <c r="BQ637" s="8">
        <f>Granger_Inventory[[#This Row],[land_value]]</f>
        <v>72574.63549339262</v>
      </c>
      <c r="BR637" s="4">
        <f>_xlfn.IFNA(VLOOKUP(Granger_Inventory[[#This Row],[quality]],Lookups!$A$25:$C$35,3,FALSE),1)</f>
        <v>1</v>
      </c>
      <c r="BS637" s="4">
        <f>_xlfn.IFNA(VLOOKUP(Granger_Inventory[[#This Row],[condition]],Lookups!$A$38:$C$45,3,FALSE),1)</f>
        <v>1</v>
      </c>
      <c r="BT637" s="4">
        <f>IF(Granger_Inventory[[#This Row],[decade]]="",1,_xlfn.IFNA(VLOOKUP(Granger_Inventory[[#This Row],[decade]],Lookups!$G$28:$I$42,3,FALSE),1))</f>
        <v>1</v>
      </c>
      <c r="BU637" s="4">
        <f>_xlfn.IFNA(VLOOKUP(Granger_Inventory[[#This Row],[living_area_range]],Lookups!$A$48:$C$57,3,FALSE),1)</f>
        <v>1</v>
      </c>
      <c r="BV637" s="4">
        <f>AVERAGE(Granger_Inventory[[#This Row],[qual_adj]:[living_range_adj]])</f>
        <v>1</v>
      </c>
      <c r="BW637" s="8">
        <f>(Granger_Inventory[[#This Row],[sum_land]]-IF(Granger_Inventory[[#This Row],[no_utilities]]=1,12000,0))/IF(Granger_Inventory[[#This Row],[unbuildable]]=1,2,1)</f>
        <v>72574.63549339262</v>
      </c>
      <c r="BX637" s="8">
        <f>Granger_Inventory[[#This Row],[pre_res]]*Granger_Inventory[[#This Row],[overall_adj]]</f>
        <v>0</v>
      </c>
      <c r="BY637">
        <f>IF(ROUND(Granger_Inventory[[#This Row],[adj_land]]*Lookups!$I$45,-2)&lt;Granger_Inventory[[#This Row],[min_land]],Granger_Inventory[[#This Row],[min_land]],ROUND(Granger_Inventory[[#This Row],[adj_land]]*Lookups!$I$45,-2))</f>
        <v>68900</v>
      </c>
      <c r="BZ637">
        <f>ROUND(Granger_Inventory[[#This Row],[detatched_value]]*Lookups!$I$45,-2)</f>
        <v>0</v>
      </c>
      <c r="CA63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7">
        <f>Granger_Inventory[[#This Row],[final_det]]+Granger_Inventory[[#This Row],[final_res]]</f>
        <v>0</v>
      </c>
      <c r="CC637">
        <f>Granger_Inventory[[#This Row],[final_land]]+Granger_Inventory[[#This Row],[final_imp]]+Granger_Inventory[[#This Row],[crop_value]]</f>
        <v>68900</v>
      </c>
      <c r="CE637" t="str">
        <f t="shared" si="10"/>
        <v>update valuation set market_land =68900, market_bldg=0, market_total =68900, market_mdno =402, market_date ='9/10/2023' where link_id = (select link_id from parcel where parcel_year = '2024' and parcel_id = '21101543402');</v>
      </c>
    </row>
    <row r="638" spans="1:83" x14ac:dyDescent="0.25">
      <c r="A638">
        <v>21101543406</v>
      </c>
      <c r="B638">
        <v>1.63</v>
      </c>
      <c r="C638">
        <v>70940</v>
      </c>
      <c r="D638" t="s">
        <v>137</v>
      </c>
      <c r="E638" t="s">
        <v>54</v>
      </c>
      <c r="F638" t="s">
        <v>54</v>
      </c>
      <c r="G638">
        <v>3</v>
      </c>
      <c r="H638" t="s">
        <v>55</v>
      </c>
      <c r="I638">
        <v>0</v>
      </c>
      <c r="J638">
        <v>39700</v>
      </c>
      <c r="K638">
        <v>1.63</v>
      </c>
      <c r="L638">
        <f>IF(Granger_Inventory[[#This Row],[parcel_acres]]-Granger_Inventory[[#This Row],[non_valued_acres]] =0,0,LN(Granger_Inventory[[#This Row],[parcel_acres]]-Granger_Inventory[[#This Row],[non_valued_acres]]))</f>
        <v>0.48858001481867092</v>
      </c>
      <c r="M638">
        <v>0</v>
      </c>
      <c r="N638">
        <v>0</v>
      </c>
      <c r="O638">
        <v>0</v>
      </c>
      <c r="P638">
        <v>47108.068500000001</v>
      </c>
      <c r="Q638">
        <v>122298</v>
      </c>
      <c r="R638">
        <f>(Granger_Inventory[[#This Row],[ln_acres]]*Granger_Inventory[[#This Row],[coeff]])+Granger_Inventory[[#This Row],[const]]</f>
        <v>145314.06080580896</v>
      </c>
      <c r="AY638">
        <v>0</v>
      </c>
      <c r="AZ638">
        <v>0</v>
      </c>
      <c r="BE638">
        <v>0</v>
      </c>
      <c r="BF638">
        <v>15000</v>
      </c>
      <c r="BG638">
        <v>0</v>
      </c>
      <c r="BH638" s="8">
        <f>Granger_Inventory[[#This Row],[land_extract]]*Lookups!$B$3</f>
        <v>86568.061695093216</v>
      </c>
      <c r="BI638" s="8">
        <f>IF(Granger_Inventory[[#This Row],[bldg_style]]="",0,Lookups!$B$2)</f>
        <v>0</v>
      </c>
      <c r="BJ638" s="8">
        <f>_xlfn.IFNA(VLOOKUP(Granger_Inventory[[#This Row],[quality]],Lookups!$H$2:$J$14,3,FALSE),0)</f>
        <v>0</v>
      </c>
      <c r="BK638" s="8">
        <f>_xlfn.IFNA(VLOOKUP(Granger_Inventory[[#This Row],[condition]],Lookups!$H$17:$J$24,3,FALSE),0)</f>
        <v>0</v>
      </c>
      <c r="BL638" s="8">
        <f>Granger_Inventory[[#This Row],[Age]]*Lookups!$B$16</f>
        <v>0</v>
      </c>
      <c r="BM638" s="8">
        <f>Granger_Inventory[[#This Row],[living_area]]*Lookups!$B$17</f>
        <v>0</v>
      </c>
      <c r="BN638" s="8">
        <f>(Granger_Inventory[[#This Row],[att_gar]]+Granger_Inventory[[#This Row],[blt_gar]])*Lookups!$B$18</f>
        <v>0</v>
      </c>
      <c r="BO638" s="8">
        <f>Granger_Inventory[[#This Row],[Patio]]*Lookups!$B$19</f>
        <v>0</v>
      </c>
      <c r="BP638" s="8">
        <f>SUM(Granger_Inventory[[#This Row],[Intercept]:[Patio_Value]])*Granger_Inventory[[#This Row],[res_pct]]</f>
        <v>0</v>
      </c>
      <c r="BQ638" s="8">
        <f>Granger_Inventory[[#This Row],[land_value]]</f>
        <v>86568.061695093216</v>
      </c>
      <c r="BR638" s="4">
        <f>_xlfn.IFNA(VLOOKUP(Granger_Inventory[[#This Row],[quality]],Lookups!$A$25:$C$35,3,FALSE),1)</f>
        <v>1</v>
      </c>
      <c r="BS638" s="4">
        <f>_xlfn.IFNA(VLOOKUP(Granger_Inventory[[#This Row],[condition]],Lookups!$A$38:$C$45,3,FALSE),1)</f>
        <v>1</v>
      </c>
      <c r="BT638" s="4">
        <f>IF(Granger_Inventory[[#This Row],[decade]]="",1,_xlfn.IFNA(VLOOKUP(Granger_Inventory[[#This Row],[decade]],Lookups!$G$28:$I$42,3,FALSE),1))</f>
        <v>1</v>
      </c>
      <c r="BU638" s="4">
        <f>_xlfn.IFNA(VLOOKUP(Granger_Inventory[[#This Row],[living_area_range]],Lookups!$A$48:$C$57,3,FALSE),1)</f>
        <v>1</v>
      </c>
      <c r="BV638" s="4">
        <f>AVERAGE(Granger_Inventory[[#This Row],[qual_adj]:[living_range_adj]])</f>
        <v>1</v>
      </c>
      <c r="BW638" s="8">
        <f>(Granger_Inventory[[#This Row],[sum_land]]-IF(Granger_Inventory[[#This Row],[no_utilities]]=1,12000,0))/IF(Granger_Inventory[[#This Row],[unbuildable]]=1,2,1)</f>
        <v>86568.061695093216</v>
      </c>
      <c r="BX638" s="8">
        <f>Granger_Inventory[[#This Row],[pre_res]]*Granger_Inventory[[#This Row],[overall_adj]]</f>
        <v>0</v>
      </c>
      <c r="BY638">
        <f>IF(ROUND(Granger_Inventory[[#This Row],[adj_land]]*Lookups!$I$45,-2)&lt;Granger_Inventory[[#This Row],[min_land]],Granger_Inventory[[#This Row],[min_land]],ROUND(Granger_Inventory[[#This Row],[adj_land]]*Lookups!$I$45,-2))</f>
        <v>82200</v>
      </c>
      <c r="BZ638">
        <f>ROUND(Granger_Inventory[[#This Row],[detatched_value]]*Lookups!$I$45,-2)</f>
        <v>0</v>
      </c>
      <c r="CA63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8">
        <f>Granger_Inventory[[#This Row],[final_det]]+Granger_Inventory[[#This Row],[final_res]]</f>
        <v>0</v>
      </c>
      <c r="CC638">
        <f>Granger_Inventory[[#This Row],[final_land]]+Granger_Inventory[[#This Row],[final_imp]]+Granger_Inventory[[#This Row],[crop_value]]</f>
        <v>82200</v>
      </c>
      <c r="CE638" t="str">
        <f t="shared" si="10"/>
        <v>update valuation set market_land =82200, market_bldg=0, market_total =82200, market_mdno =402, market_date ='9/10/2023' where link_id = (select link_id from parcel where parcel_year = '2024' and parcel_id = '21101543406');</v>
      </c>
    </row>
    <row r="639" spans="1:83" x14ac:dyDescent="0.25">
      <c r="A639">
        <v>21101543408</v>
      </c>
      <c r="B639">
        <v>8.18</v>
      </c>
      <c r="C639">
        <v>356349</v>
      </c>
      <c r="D639" t="s">
        <v>137</v>
      </c>
      <c r="E639" t="s">
        <v>54</v>
      </c>
      <c r="F639" t="s">
        <v>54</v>
      </c>
      <c r="G639">
        <v>3</v>
      </c>
      <c r="H639" t="s">
        <v>55</v>
      </c>
      <c r="I639">
        <v>0</v>
      </c>
      <c r="J639">
        <v>49100</v>
      </c>
      <c r="K639">
        <v>8.18</v>
      </c>
      <c r="L639">
        <f>IF(Granger_Inventory[[#This Row],[parcel_acres]]-Granger_Inventory[[#This Row],[non_valued_acres]] =0,0,LN(Granger_Inventory[[#This Row],[parcel_acres]]-Granger_Inventory[[#This Row],[non_valued_acres]]))</f>
        <v>2.1016921506146558</v>
      </c>
      <c r="M639">
        <v>0</v>
      </c>
      <c r="N639">
        <v>0</v>
      </c>
      <c r="O639">
        <v>0</v>
      </c>
      <c r="P639">
        <v>47108.068500000001</v>
      </c>
      <c r="Q639">
        <v>122298</v>
      </c>
      <c r="R639">
        <f>(Granger_Inventory[[#This Row],[ln_acres]]*Granger_Inventory[[#This Row],[coeff]])+Granger_Inventory[[#This Row],[const]]</f>
        <v>221304.65779706754</v>
      </c>
      <c r="AY639">
        <v>0</v>
      </c>
      <c r="AZ639">
        <v>0</v>
      </c>
      <c r="BE639">
        <v>0</v>
      </c>
      <c r="BF639">
        <v>15000</v>
      </c>
      <c r="BG639">
        <v>0</v>
      </c>
      <c r="BH639" s="8">
        <f>Granger_Inventory[[#This Row],[land_extract]]*Lookups!$B$3</f>
        <v>131838.00083317328</v>
      </c>
      <c r="BI639" s="8">
        <f>IF(Granger_Inventory[[#This Row],[bldg_style]]="",0,Lookups!$B$2)</f>
        <v>0</v>
      </c>
      <c r="BJ639" s="8">
        <f>_xlfn.IFNA(VLOOKUP(Granger_Inventory[[#This Row],[quality]],Lookups!$H$2:$J$14,3,FALSE),0)</f>
        <v>0</v>
      </c>
      <c r="BK639" s="8">
        <f>_xlfn.IFNA(VLOOKUP(Granger_Inventory[[#This Row],[condition]],Lookups!$H$17:$J$24,3,FALSE),0)</f>
        <v>0</v>
      </c>
      <c r="BL639" s="8">
        <f>Granger_Inventory[[#This Row],[Age]]*Lookups!$B$16</f>
        <v>0</v>
      </c>
      <c r="BM639" s="8">
        <f>Granger_Inventory[[#This Row],[living_area]]*Lookups!$B$17</f>
        <v>0</v>
      </c>
      <c r="BN639" s="8">
        <f>(Granger_Inventory[[#This Row],[att_gar]]+Granger_Inventory[[#This Row],[blt_gar]])*Lookups!$B$18</f>
        <v>0</v>
      </c>
      <c r="BO639" s="8">
        <f>Granger_Inventory[[#This Row],[Patio]]*Lookups!$B$19</f>
        <v>0</v>
      </c>
      <c r="BP639" s="8">
        <f>SUM(Granger_Inventory[[#This Row],[Intercept]:[Patio_Value]])*Granger_Inventory[[#This Row],[res_pct]]</f>
        <v>0</v>
      </c>
      <c r="BQ639" s="8">
        <f>Granger_Inventory[[#This Row],[land_value]]</f>
        <v>131838.00083317328</v>
      </c>
      <c r="BR639" s="4">
        <f>_xlfn.IFNA(VLOOKUP(Granger_Inventory[[#This Row],[quality]],Lookups!$A$25:$C$35,3,FALSE),1)</f>
        <v>1</v>
      </c>
      <c r="BS639" s="4">
        <f>_xlfn.IFNA(VLOOKUP(Granger_Inventory[[#This Row],[condition]],Lookups!$A$38:$C$45,3,FALSE),1)</f>
        <v>1</v>
      </c>
      <c r="BT639" s="4">
        <f>IF(Granger_Inventory[[#This Row],[decade]]="",1,_xlfn.IFNA(VLOOKUP(Granger_Inventory[[#This Row],[decade]],Lookups!$G$28:$I$42,3,FALSE),1))</f>
        <v>1</v>
      </c>
      <c r="BU639" s="4">
        <f>_xlfn.IFNA(VLOOKUP(Granger_Inventory[[#This Row],[living_area_range]],Lookups!$A$48:$C$57,3,FALSE),1)</f>
        <v>1</v>
      </c>
      <c r="BV639" s="4">
        <f>AVERAGE(Granger_Inventory[[#This Row],[qual_adj]:[living_range_adj]])</f>
        <v>1</v>
      </c>
      <c r="BW639" s="8">
        <f>(Granger_Inventory[[#This Row],[sum_land]]-IF(Granger_Inventory[[#This Row],[no_utilities]]=1,12000,0))/IF(Granger_Inventory[[#This Row],[unbuildable]]=1,2,1)</f>
        <v>131838.00083317328</v>
      </c>
      <c r="BX639" s="8">
        <f>Granger_Inventory[[#This Row],[pre_res]]*Granger_Inventory[[#This Row],[overall_adj]]</f>
        <v>0</v>
      </c>
      <c r="BY639">
        <f>IF(ROUND(Granger_Inventory[[#This Row],[adj_land]]*Lookups!$I$45,-2)&lt;Granger_Inventory[[#This Row],[min_land]],Granger_Inventory[[#This Row],[min_land]],ROUND(Granger_Inventory[[#This Row],[adj_land]]*Lookups!$I$45,-2))</f>
        <v>125200</v>
      </c>
      <c r="BZ639">
        <f>ROUND(Granger_Inventory[[#This Row],[detatched_value]]*Lookups!$I$45,-2)</f>
        <v>0</v>
      </c>
      <c r="CA63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39">
        <f>Granger_Inventory[[#This Row],[final_det]]+Granger_Inventory[[#This Row],[final_res]]</f>
        <v>0</v>
      </c>
      <c r="CC639">
        <f>Granger_Inventory[[#This Row],[final_land]]+Granger_Inventory[[#This Row],[final_imp]]+Granger_Inventory[[#This Row],[crop_value]]</f>
        <v>125200</v>
      </c>
      <c r="CE639" t="str">
        <f t="shared" si="10"/>
        <v>update valuation set market_land =125200, market_bldg=0, market_total =125200, market_mdno =402, market_date ='9/10/2023' where link_id = (select link_id from parcel where parcel_year = '2024' and parcel_id = '21101543408');</v>
      </c>
    </row>
    <row r="640" spans="1:83" x14ac:dyDescent="0.25">
      <c r="A640">
        <v>21101613412</v>
      </c>
      <c r="B640">
        <v>0.75</v>
      </c>
      <c r="C640" t="s">
        <v>137</v>
      </c>
      <c r="D640" t="s">
        <v>137</v>
      </c>
      <c r="E640" t="s">
        <v>54</v>
      </c>
      <c r="F640" t="s">
        <v>54</v>
      </c>
      <c r="G640">
        <v>3</v>
      </c>
      <c r="H640" t="s">
        <v>55</v>
      </c>
      <c r="I640">
        <v>0</v>
      </c>
      <c r="J640">
        <v>35200</v>
      </c>
      <c r="K640">
        <v>0.75</v>
      </c>
      <c r="L640">
        <f>IF(Granger_Inventory[[#This Row],[parcel_acres]]-Granger_Inventory[[#This Row],[non_valued_acres]] =0,0,LN(Granger_Inventory[[#This Row],[parcel_acres]]-Granger_Inventory[[#This Row],[non_valued_acres]]))</f>
        <v>-0.2876820724517809</v>
      </c>
      <c r="M640">
        <v>0</v>
      </c>
      <c r="N640">
        <v>0</v>
      </c>
      <c r="O640">
        <v>0</v>
      </c>
      <c r="P640">
        <v>47108.068500000001</v>
      </c>
      <c r="Q640">
        <v>122298</v>
      </c>
      <c r="R640">
        <f>(Granger_Inventory[[#This Row],[ln_acres]]*Granger_Inventory[[#This Row],[coeff]])+Granger_Inventory[[#This Row],[const]]</f>
        <v>108745.85322471954</v>
      </c>
      <c r="AY640">
        <v>0</v>
      </c>
      <c r="AZ640">
        <v>0</v>
      </c>
      <c r="BE640">
        <v>0</v>
      </c>
      <c r="BF640">
        <v>15000</v>
      </c>
      <c r="BG640">
        <v>0</v>
      </c>
      <c r="BH640" s="8">
        <f>Granger_Inventory[[#This Row],[land_extract]]*Lookups!$B$3</f>
        <v>64783.254138244753</v>
      </c>
      <c r="BI640" s="8">
        <f>IF(Granger_Inventory[[#This Row],[bldg_style]]="",0,Lookups!$B$2)</f>
        <v>0</v>
      </c>
      <c r="BJ640" s="8">
        <f>_xlfn.IFNA(VLOOKUP(Granger_Inventory[[#This Row],[quality]],Lookups!$H$2:$J$14,3,FALSE),0)</f>
        <v>0</v>
      </c>
      <c r="BK640" s="8">
        <f>_xlfn.IFNA(VLOOKUP(Granger_Inventory[[#This Row],[condition]],Lookups!$H$17:$J$24,3,FALSE),0)</f>
        <v>0</v>
      </c>
      <c r="BL640" s="8">
        <f>Granger_Inventory[[#This Row],[Age]]*Lookups!$B$16</f>
        <v>0</v>
      </c>
      <c r="BM640" s="8">
        <f>Granger_Inventory[[#This Row],[living_area]]*Lookups!$B$17</f>
        <v>0</v>
      </c>
      <c r="BN640" s="8">
        <f>(Granger_Inventory[[#This Row],[att_gar]]+Granger_Inventory[[#This Row],[blt_gar]])*Lookups!$B$18</f>
        <v>0</v>
      </c>
      <c r="BO640" s="8">
        <f>Granger_Inventory[[#This Row],[Patio]]*Lookups!$B$19</f>
        <v>0</v>
      </c>
      <c r="BP640" s="8">
        <f>SUM(Granger_Inventory[[#This Row],[Intercept]:[Patio_Value]])*Granger_Inventory[[#This Row],[res_pct]]</f>
        <v>0</v>
      </c>
      <c r="BQ640" s="8">
        <f>Granger_Inventory[[#This Row],[land_value]]</f>
        <v>64783.254138244753</v>
      </c>
      <c r="BR640" s="4">
        <f>_xlfn.IFNA(VLOOKUP(Granger_Inventory[[#This Row],[quality]],Lookups!$A$25:$C$35,3,FALSE),1)</f>
        <v>1</v>
      </c>
      <c r="BS640" s="4">
        <f>_xlfn.IFNA(VLOOKUP(Granger_Inventory[[#This Row],[condition]],Lookups!$A$38:$C$45,3,FALSE),1)</f>
        <v>1</v>
      </c>
      <c r="BT640" s="4">
        <f>IF(Granger_Inventory[[#This Row],[decade]]="",1,_xlfn.IFNA(VLOOKUP(Granger_Inventory[[#This Row],[decade]],Lookups!$G$28:$I$42,3,FALSE),1))</f>
        <v>1</v>
      </c>
      <c r="BU640" s="4">
        <f>_xlfn.IFNA(VLOOKUP(Granger_Inventory[[#This Row],[living_area_range]],Lookups!$A$48:$C$57,3,FALSE),1)</f>
        <v>1</v>
      </c>
      <c r="BV640" s="4">
        <f>AVERAGE(Granger_Inventory[[#This Row],[qual_adj]:[living_range_adj]])</f>
        <v>1</v>
      </c>
      <c r="BW640" s="8">
        <f>(Granger_Inventory[[#This Row],[sum_land]]-IF(Granger_Inventory[[#This Row],[no_utilities]]=1,12000,0))/IF(Granger_Inventory[[#This Row],[unbuildable]]=1,2,1)</f>
        <v>64783.254138244753</v>
      </c>
      <c r="BX640" s="8">
        <f>Granger_Inventory[[#This Row],[pre_res]]*Granger_Inventory[[#This Row],[overall_adj]]</f>
        <v>0</v>
      </c>
      <c r="BY640">
        <f>IF(ROUND(Granger_Inventory[[#This Row],[adj_land]]*Lookups!$I$45,-2)&lt;Granger_Inventory[[#This Row],[min_land]],Granger_Inventory[[#This Row],[min_land]],ROUND(Granger_Inventory[[#This Row],[adj_land]]*Lookups!$I$45,-2))</f>
        <v>61500</v>
      </c>
      <c r="BZ640">
        <f>ROUND(Granger_Inventory[[#This Row],[detatched_value]]*Lookups!$I$45,-2)</f>
        <v>0</v>
      </c>
      <c r="CA64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0">
        <f>Granger_Inventory[[#This Row],[final_det]]+Granger_Inventory[[#This Row],[final_res]]</f>
        <v>0</v>
      </c>
      <c r="CC640">
        <f>Granger_Inventory[[#This Row],[final_land]]+Granger_Inventory[[#This Row],[final_imp]]+Granger_Inventory[[#This Row],[crop_value]]</f>
        <v>61500</v>
      </c>
      <c r="CE640" t="str">
        <f t="shared" si="10"/>
        <v>update valuation set market_land =61500, market_bldg=0, market_total =61500, market_mdno =402, market_date ='9/10/2023' where link_id = (select link_id from parcel where parcel_year = '2024' and parcel_id = '21101613412');</v>
      </c>
    </row>
    <row r="641" spans="1:83" x14ac:dyDescent="0.25">
      <c r="A641">
        <v>21101613413</v>
      </c>
      <c r="B641">
        <v>0.55000000000000004</v>
      </c>
      <c r="C641" t="s">
        <v>137</v>
      </c>
      <c r="D641">
        <v>0.55000000000000004</v>
      </c>
      <c r="E641" t="s">
        <v>54</v>
      </c>
      <c r="F641" t="s">
        <v>54</v>
      </c>
      <c r="G641">
        <v>3</v>
      </c>
      <c r="H641" t="s">
        <v>55</v>
      </c>
      <c r="I641">
        <v>0</v>
      </c>
      <c r="J641">
        <v>34100</v>
      </c>
      <c r="K641">
        <v>0.55000000000000004</v>
      </c>
      <c r="L641">
        <f>IF(Granger_Inventory[[#This Row],[parcel_acres]]-Granger_Inventory[[#This Row],[non_valued_acres]] =0,0,LN(Granger_Inventory[[#This Row],[parcel_acres]]-Granger_Inventory[[#This Row],[non_valued_acres]]))</f>
        <v>-0.59783700075562041</v>
      </c>
      <c r="M641">
        <v>0</v>
      </c>
      <c r="N641">
        <v>0</v>
      </c>
      <c r="O641">
        <v>0</v>
      </c>
      <c r="P641">
        <v>47108.068500000001</v>
      </c>
      <c r="Q641">
        <v>122298</v>
      </c>
      <c r="R641">
        <f>(Granger_Inventory[[#This Row],[ln_acres]]*Granger_Inventory[[#This Row],[coeff]])+Granger_Inventory[[#This Row],[const]]</f>
        <v>94135.053616569683</v>
      </c>
      <c r="AY641">
        <v>0</v>
      </c>
      <c r="AZ641">
        <v>0</v>
      </c>
      <c r="BE641">
        <v>0</v>
      </c>
      <c r="BF641">
        <v>15000</v>
      </c>
      <c r="BG641">
        <v>0</v>
      </c>
      <c r="BH641" s="8">
        <f>Granger_Inventory[[#This Row],[land_extract]]*Lookups!$B$3</f>
        <v>56079.150799041949</v>
      </c>
      <c r="BI641" s="8">
        <f>IF(Granger_Inventory[[#This Row],[bldg_style]]="",0,Lookups!$B$2)</f>
        <v>0</v>
      </c>
      <c r="BJ641" s="8">
        <f>_xlfn.IFNA(VLOOKUP(Granger_Inventory[[#This Row],[quality]],Lookups!$H$2:$J$14,3,FALSE),0)</f>
        <v>0</v>
      </c>
      <c r="BK641" s="8">
        <f>_xlfn.IFNA(VLOOKUP(Granger_Inventory[[#This Row],[condition]],Lookups!$H$17:$J$24,3,FALSE),0)</f>
        <v>0</v>
      </c>
      <c r="BL641" s="8">
        <f>Granger_Inventory[[#This Row],[Age]]*Lookups!$B$16</f>
        <v>0</v>
      </c>
      <c r="BM641" s="8">
        <f>Granger_Inventory[[#This Row],[living_area]]*Lookups!$B$17</f>
        <v>0</v>
      </c>
      <c r="BN641" s="8">
        <f>(Granger_Inventory[[#This Row],[att_gar]]+Granger_Inventory[[#This Row],[blt_gar]])*Lookups!$B$18</f>
        <v>0</v>
      </c>
      <c r="BO641" s="8">
        <f>Granger_Inventory[[#This Row],[Patio]]*Lookups!$B$19</f>
        <v>0</v>
      </c>
      <c r="BP641" s="8">
        <f>SUM(Granger_Inventory[[#This Row],[Intercept]:[Patio_Value]])*Granger_Inventory[[#This Row],[res_pct]]</f>
        <v>0</v>
      </c>
      <c r="BQ641" s="8">
        <f>Granger_Inventory[[#This Row],[land_value]]</f>
        <v>56079.150799041949</v>
      </c>
      <c r="BR641" s="4">
        <f>_xlfn.IFNA(VLOOKUP(Granger_Inventory[[#This Row],[quality]],Lookups!$A$25:$C$35,3,FALSE),1)</f>
        <v>1</v>
      </c>
      <c r="BS641" s="4">
        <f>_xlfn.IFNA(VLOOKUP(Granger_Inventory[[#This Row],[condition]],Lookups!$A$38:$C$45,3,FALSE),1)</f>
        <v>1</v>
      </c>
      <c r="BT641" s="4">
        <f>IF(Granger_Inventory[[#This Row],[decade]]="",1,_xlfn.IFNA(VLOOKUP(Granger_Inventory[[#This Row],[decade]],Lookups!$G$28:$I$42,3,FALSE),1))</f>
        <v>1</v>
      </c>
      <c r="BU641" s="4">
        <f>_xlfn.IFNA(VLOOKUP(Granger_Inventory[[#This Row],[living_area_range]],Lookups!$A$48:$C$57,3,FALSE),1)</f>
        <v>1</v>
      </c>
      <c r="BV641" s="4">
        <f>AVERAGE(Granger_Inventory[[#This Row],[qual_adj]:[living_range_adj]])</f>
        <v>1</v>
      </c>
      <c r="BW641" s="8">
        <f>(Granger_Inventory[[#This Row],[sum_land]]-IF(Granger_Inventory[[#This Row],[no_utilities]]=1,12000,0))/IF(Granger_Inventory[[#This Row],[unbuildable]]=1,2,1)</f>
        <v>56079.150799041949</v>
      </c>
      <c r="BX641" s="8">
        <f>Granger_Inventory[[#This Row],[pre_res]]*Granger_Inventory[[#This Row],[overall_adj]]</f>
        <v>0</v>
      </c>
      <c r="BY641">
        <f>IF(ROUND(Granger_Inventory[[#This Row],[adj_land]]*Lookups!$I$45,-2)&lt;Granger_Inventory[[#This Row],[min_land]],Granger_Inventory[[#This Row],[min_land]],ROUND(Granger_Inventory[[#This Row],[adj_land]]*Lookups!$I$45,-2))</f>
        <v>53300</v>
      </c>
      <c r="BZ641">
        <f>ROUND(Granger_Inventory[[#This Row],[detatched_value]]*Lookups!$I$45,-2)</f>
        <v>0</v>
      </c>
      <c r="CA64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1">
        <f>Granger_Inventory[[#This Row],[final_det]]+Granger_Inventory[[#This Row],[final_res]]</f>
        <v>0</v>
      </c>
      <c r="CC641">
        <f>Granger_Inventory[[#This Row],[final_land]]+Granger_Inventory[[#This Row],[final_imp]]+Granger_Inventory[[#This Row],[crop_value]]</f>
        <v>53300</v>
      </c>
      <c r="CE641" t="str">
        <f t="shared" si="10"/>
        <v>update valuation set market_land =53300, market_bldg=0, market_total =53300, market_mdno =402, market_date ='9/10/2023' where link_id = (select link_id from parcel where parcel_year = '2024' and parcel_id = '21101613413');</v>
      </c>
    </row>
    <row r="642" spans="1:83" x14ac:dyDescent="0.25">
      <c r="A642">
        <v>21101613414</v>
      </c>
      <c r="B642">
        <v>1.21</v>
      </c>
      <c r="C642" t="s">
        <v>137</v>
      </c>
      <c r="D642">
        <v>1.21</v>
      </c>
      <c r="E642" t="s">
        <v>54</v>
      </c>
      <c r="F642" t="s">
        <v>54</v>
      </c>
      <c r="G642">
        <v>3</v>
      </c>
      <c r="H642" t="s">
        <v>55</v>
      </c>
      <c r="I642">
        <v>0</v>
      </c>
      <c r="J642">
        <v>37600</v>
      </c>
      <c r="K642">
        <v>1.21</v>
      </c>
      <c r="L642">
        <f>IF(Granger_Inventory[[#This Row],[parcel_acres]]-Granger_Inventory[[#This Row],[non_valued_acres]] =0,0,LN(Granger_Inventory[[#This Row],[parcel_acres]]-Granger_Inventory[[#This Row],[non_valued_acres]]))</f>
        <v>0.1906203596086497</v>
      </c>
      <c r="M642">
        <v>0</v>
      </c>
      <c r="N642">
        <v>0</v>
      </c>
      <c r="O642">
        <v>0</v>
      </c>
      <c r="P642">
        <v>47108.068500000001</v>
      </c>
      <c r="Q642">
        <v>122298</v>
      </c>
      <c r="R642">
        <f>(Granger_Inventory[[#This Row],[ln_acres]]*Granger_Inventory[[#This Row],[coeff]])+Granger_Inventory[[#This Row],[const]]</f>
        <v>131277.75695793889</v>
      </c>
      <c r="AY642">
        <v>0</v>
      </c>
      <c r="AZ642">
        <v>0</v>
      </c>
      <c r="BE642">
        <v>0</v>
      </c>
      <c r="BF642">
        <v>15000</v>
      </c>
      <c r="BG642">
        <v>0</v>
      </c>
      <c r="BH642" s="8">
        <f>Granger_Inventory[[#This Row],[land_extract]]*Lookups!$B$3</f>
        <v>78206.203174758499</v>
      </c>
      <c r="BI642" s="8">
        <f>IF(Granger_Inventory[[#This Row],[bldg_style]]="",0,Lookups!$B$2)</f>
        <v>0</v>
      </c>
      <c r="BJ642" s="8">
        <f>_xlfn.IFNA(VLOOKUP(Granger_Inventory[[#This Row],[quality]],Lookups!$H$2:$J$14,3,FALSE),0)</f>
        <v>0</v>
      </c>
      <c r="BK642" s="8">
        <f>_xlfn.IFNA(VLOOKUP(Granger_Inventory[[#This Row],[condition]],Lookups!$H$17:$J$24,3,FALSE),0)</f>
        <v>0</v>
      </c>
      <c r="BL642" s="8">
        <f>Granger_Inventory[[#This Row],[Age]]*Lookups!$B$16</f>
        <v>0</v>
      </c>
      <c r="BM642" s="8">
        <f>Granger_Inventory[[#This Row],[living_area]]*Lookups!$B$17</f>
        <v>0</v>
      </c>
      <c r="BN642" s="8">
        <f>(Granger_Inventory[[#This Row],[att_gar]]+Granger_Inventory[[#This Row],[blt_gar]])*Lookups!$B$18</f>
        <v>0</v>
      </c>
      <c r="BO642" s="8">
        <f>Granger_Inventory[[#This Row],[Patio]]*Lookups!$B$19</f>
        <v>0</v>
      </c>
      <c r="BP642" s="8">
        <f>SUM(Granger_Inventory[[#This Row],[Intercept]:[Patio_Value]])*Granger_Inventory[[#This Row],[res_pct]]</f>
        <v>0</v>
      </c>
      <c r="BQ642" s="8">
        <f>Granger_Inventory[[#This Row],[land_value]]</f>
        <v>78206.203174758499</v>
      </c>
      <c r="BR642" s="4">
        <f>_xlfn.IFNA(VLOOKUP(Granger_Inventory[[#This Row],[quality]],Lookups!$A$25:$C$35,3,FALSE),1)</f>
        <v>1</v>
      </c>
      <c r="BS642" s="4">
        <f>_xlfn.IFNA(VLOOKUP(Granger_Inventory[[#This Row],[condition]],Lookups!$A$38:$C$45,3,FALSE),1)</f>
        <v>1</v>
      </c>
      <c r="BT642" s="4">
        <f>IF(Granger_Inventory[[#This Row],[decade]]="",1,_xlfn.IFNA(VLOOKUP(Granger_Inventory[[#This Row],[decade]],Lookups!$G$28:$I$42,3,FALSE),1))</f>
        <v>1</v>
      </c>
      <c r="BU642" s="4">
        <f>_xlfn.IFNA(VLOOKUP(Granger_Inventory[[#This Row],[living_area_range]],Lookups!$A$48:$C$57,3,FALSE),1)</f>
        <v>1</v>
      </c>
      <c r="BV642" s="4">
        <f>AVERAGE(Granger_Inventory[[#This Row],[qual_adj]:[living_range_adj]])</f>
        <v>1</v>
      </c>
      <c r="BW642" s="8">
        <f>(Granger_Inventory[[#This Row],[sum_land]]-IF(Granger_Inventory[[#This Row],[no_utilities]]=1,12000,0))/IF(Granger_Inventory[[#This Row],[unbuildable]]=1,2,1)</f>
        <v>78206.203174758499</v>
      </c>
      <c r="BX642" s="8">
        <f>Granger_Inventory[[#This Row],[pre_res]]*Granger_Inventory[[#This Row],[overall_adj]]</f>
        <v>0</v>
      </c>
      <c r="BY642">
        <f>IF(ROUND(Granger_Inventory[[#This Row],[adj_land]]*Lookups!$I$45,-2)&lt;Granger_Inventory[[#This Row],[min_land]],Granger_Inventory[[#This Row],[min_land]],ROUND(Granger_Inventory[[#This Row],[adj_land]]*Lookups!$I$45,-2))</f>
        <v>74300</v>
      </c>
      <c r="BZ642">
        <f>ROUND(Granger_Inventory[[#This Row],[detatched_value]]*Lookups!$I$45,-2)</f>
        <v>0</v>
      </c>
      <c r="CA64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2">
        <f>Granger_Inventory[[#This Row],[final_det]]+Granger_Inventory[[#This Row],[final_res]]</f>
        <v>0</v>
      </c>
      <c r="CC642">
        <f>Granger_Inventory[[#This Row],[final_land]]+Granger_Inventory[[#This Row],[final_imp]]+Granger_Inventory[[#This Row],[crop_value]]</f>
        <v>74300</v>
      </c>
      <c r="CE642" t="str">
        <f t="shared" ref="CE642:CE705" si="11">"update valuation set market_land ="&amp;BY642&amp;", market_bldg="&amp;CB642&amp;", market_total ="&amp;CC642&amp;", market_mdno ="&amp;$CE$1&amp;", market_date ='"&amp;TEXT($CF$1,"m/d/yyyy")&amp;"' where link_id = (select link_id from parcel where parcel_year = '2024' and parcel_id = '"&amp;A642&amp;"');"</f>
        <v>update valuation set market_land =74300, market_bldg=0, market_total =74300, market_mdno =402, market_date ='9/10/2023' where link_id = (select link_id from parcel where parcel_year = '2024' and parcel_id = '21101613414');</v>
      </c>
    </row>
    <row r="643" spans="1:83" x14ac:dyDescent="0.25">
      <c r="A643">
        <v>21101613416</v>
      </c>
      <c r="B643">
        <v>0.96</v>
      </c>
      <c r="C643" t="s">
        <v>137</v>
      </c>
      <c r="D643" t="s">
        <v>137</v>
      </c>
      <c r="E643" t="s">
        <v>54</v>
      </c>
      <c r="F643" t="s">
        <v>54</v>
      </c>
      <c r="G643">
        <v>3</v>
      </c>
      <c r="H643" t="s">
        <v>55</v>
      </c>
      <c r="I643">
        <v>0</v>
      </c>
      <c r="J643">
        <v>36600</v>
      </c>
      <c r="K643">
        <v>0.96</v>
      </c>
      <c r="L643">
        <f>IF(Granger_Inventory[[#This Row],[parcel_acres]]-Granger_Inventory[[#This Row],[non_valued_acres]] =0,0,LN(Granger_Inventory[[#This Row],[parcel_acres]]-Granger_Inventory[[#This Row],[non_valued_acres]]))</f>
        <v>-4.0821994520255166E-2</v>
      </c>
      <c r="M643">
        <v>0</v>
      </c>
      <c r="N643">
        <v>0</v>
      </c>
      <c r="O643">
        <v>0</v>
      </c>
      <c r="P643">
        <v>47108.068500000001</v>
      </c>
      <c r="Q643">
        <v>122298</v>
      </c>
      <c r="R643">
        <f>(Granger_Inventory[[#This Row],[ln_acres]]*Granger_Inventory[[#This Row],[coeff]])+Granger_Inventory[[#This Row],[const]]</f>
        <v>120374.95468583319</v>
      </c>
      <c r="AY643">
        <v>0</v>
      </c>
      <c r="AZ643">
        <v>0</v>
      </c>
      <c r="BE643">
        <v>0</v>
      </c>
      <c r="BF643">
        <v>15000</v>
      </c>
      <c r="BG643">
        <v>0</v>
      </c>
      <c r="BH643" s="8">
        <f>Granger_Inventory[[#This Row],[land_extract]]*Lookups!$B$3</f>
        <v>71711.068054955162</v>
      </c>
      <c r="BI643" s="8">
        <f>IF(Granger_Inventory[[#This Row],[bldg_style]]="",0,Lookups!$B$2)</f>
        <v>0</v>
      </c>
      <c r="BJ643" s="8">
        <f>_xlfn.IFNA(VLOOKUP(Granger_Inventory[[#This Row],[quality]],Lookups!$H$2:$J$14,3,FALSE),0)</f>
        <v>0</v>
      </c>
      <c r="BK643" s="8">
        <f>_xlfn.IFNA(VLOOKUP(Granger_Inventory[[#This Row],[condition]],Lookups!$H$17:$J$24,3,FALSE),0)</f>
        <v>0</v>
      </c>
      <c r="BL643" s="8">
        <f>Granger_Inventory[[#This Row],[Age]]*Lookups!$B$16</f>
        <v>0</v>
      </c>
      <c r="BM643" s="8">
        <f>Granger_Inventory[[#This Row],[living_area]]*Lookups!$B$17</f>
        <v>0</v>
      </c>
      <c r="BN643" s="8">
        <f>(Granger_Inventory[[#This Row],[att_gar]]+Granger_Inventory[[#This Row],[blt_gar]])*Lookups!$B$18</f>
        <v>0</v>
      </c>
      <c r="BO643" s="8">
        <f>Granger_Inventory[[#This Row],[Patio]]*Lookups!$B$19</f>
        <v>0</v>
      </c>
      <c r="BP643" s="8">
        <f>SUM(Granger_Inventory[[#This Row],[Intercept]:[Patio_Value]])*Granger_Inventory[[#This Row],[res_pct]]</f>
        <v>0</v>
      </c>
      <c r="BQ643" s="8">
        <f>Granger_Inventory[[#This Row],[land_value]]</f>
        <v>71711.068054955162</v>
      </c>
      <c r="BR643" s="4">
        <f>_xlfn.IFNA(VLOOKUP(Granger_Inventory[[#This Row],[quality]],Lookups!$A$25:$C$35,3,FALSE),1)</f>
        <v>1</v>
      </c>
      <c r="BS643" s="4">
        <f>_xlfn.IFNA(VLOOKUP(Granger_Inventory[[#This Row],[condition]],Lookups!$A$38:$C$45,3,FALSE),1)</f>
        <v>1</v>
      </c>
      <c r="BT643" s="4">
        <f>IF(Granger_Inventory[[#This Row],[decade]]="",1,_xlfn.IFNA(VLOOKUP(Granger_Inventory[[#This Row],[decade]],Lookups!$G$28:$I$42,3,FALSE),1))</f>
        <v>1</v>
      </c>
      <c r="BU643" s="4">
        <f>_xlfn.IFNA(VLOOKUP(Granger_Inventory[[#This Row],[living_area_range]],Lookups!$A$48:$C$57,3,FALSE),1)</f>
        <v>1</v>
      </c>
      <c r="BV643" s="4">
        <f>AVERAGE(Granger_Inventory[[#This Row],[qual_adj]:[living_range_adj]])</f>
        <v>1</v>
      </c>
      <c r="BW643" s="8">
        <f>(Granger_Inventory[[#This Row],[sum_land]]-IF(Granger_Inventory[[#This Row],[no_utilities]]=1,12000,0))/IF(Granger_Inventory[[#This Row],[unbuildable]]=1,2,1)</f>
        <v>71711.068054955162</v>
      </c>
      <c r="BX643" s="8">
        <f>Granger_Inventory[[#This Row],[pre_res]]*Granger_Inventory[[#This Row],[overall_adj]]</f>
        <v>0</v>
      </c>
      <c r="BY643">
        <f>IF(ROUND(Granger_Inventory[[#This Row],[adj_land]]*Lookups!$I$45,-2)&lt;Granger_Inventory[[#This Row],[min_land]],Granger_Inventory[[#This Row],[min_land]],ROUND(Granger_Inventory[[#This Row],[adj_land]]*Lookups!$I$45,-2))</f>
        <v>68100</v>
      </c>
      <c r="BZ643">
        <f>ROUND(Granger_Inventory[[#This Row],[detatched_value]]*Lookups!$I$45,-2)</f>
        <v>0</v>
      </c>
      <c r="CA64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3">
        <f>Granger_Inventory[[#This Row],[final_det]]+Granger_Inventory[[#This Row],[final_res]]</f>
        <v>0</v>
      </c>
      <c r="CC643">
        <f>Granger_Inventory[[#This Row],[final_land]]+Granger_Inventory[[#This Row],[final_imp]]+Granger_Inventory[[#This Row],[crop_value]]</f>
        <v>68100</v>
      </c>
      <c r="CE643" t="str">
        <f t="shared" si="11"/>
        <v>update valuation set market_land =68100, market_bldg=0, market_total =68100, market_mdno =402, market_date ='9/10/2023' where link_id = (select link_id from parcel where parcel_year = '2024' and parcel_id = '21101613416');</v>
      </c>
    </row>
    <row r="644" spans="1:83" x14ac:dyDescent="0.25">
      <c r="A644">
        <v>21101613417</v>
      </c>
      <c r="B644">
        <v>0.92</v>
      </c>
      <c r="C644" t="s">
        <v>137</v>
      </c>
      <c r="D644" t="s">
        <v>137</v>
      </c>
      <c r="E644" t="s">
        <v>54</v>
      </c>
      <c r="F644" t="s">
        <v>54</v>
      </c>
      <c r="G644">
        <v>3</v>
      </c>
      <c r="H644" t="s">
        <v>55</v>
      </c>
      <c r="I644">
        <v>0</v>
      </c>
      <c r="J644">
        <v>36300</v>
      </c>
      <c r="K644">
        <v>0.92</v>
      </c>
      <c r="L644">
        <f>IF(Granger_Inventory[[#This Row],[parcel_acres]]-Granger_Inventory[[#This Row],[non_valued_acres]] =0,0,LN(Granger_Inventory[[#This Row],[parcel_acres]]-Granger_Inventory[[#This Row],[non_valued_acres]]))</f>
        <v>-8.3381608939051013E-2</v>
      </c>
      <c r="M644">
        <v>0</v>
      </c>
      <c r="N644">
        <v>0</v>
      </c>
      <c r="O644">
        <v>0</v>
      </c>
      <c r="P644">
        <v>47108.068500000001</v>
      </c>
      <c r="Q644">
        <v>122298</v>
      </c>
      <c r="R644">
        <f>(Granger_Inventory[[#This Row],[ln_acres]]*Granger_Inventory[[#This Row],[coeff]])+Granger_Inventory[[#This Row],[const]]</f>
        <v>118370.05345445898</v>
      </c>
      <c r="AY644">
        <v>0</v>
      </c>
      <c r="AZ644">
        <v>0</v>
      </c>
      <c r="BE644">
        <v>0</v>
      </c>
      <c r="BF644">
        <v>15000</v>
      </c>
      <c r="BG644">
        <v>0</v>
      </c>
      <c r="BH644" s="8">
        <f>Granger_Inventory[[#This Row],[land_extract]]*Lookups!$B$3</f>
        <v>70516.686640467611</v>
      </c>
      <c r="BI644" s="8">
        <f>IF(Granger_Inventory[[#This Row],[bldg_style]]="",0,Lookups!$B$2)</f>
        <v>0</v>
      </c>
      <c r="BJ644" s="8">
        <f>_xlfn.IFNA(VLOOKUP(Granger_Inventory[[#This Row],[quality]],Lookups!$H$2:$J$14,3,FALSE),0)</f>
        <v>0</v>
      </c>
      <c r="BK644" s="8">
        <f>_xlfn.IFNA(VLOOKUP(Granger_Inventory[[#This Row],[condition]],Lookups!$H$17:$J$24,3,FALSE),0)</f>
        <v>0</v>
      </c>
      <c r="BL644" s="8">
        <f>Granger_Inventory[[#This Row],[Age]]*Lookups!$B$16</f>
        <v>0</v>
      </c>
      <c r="BM644" s="8">
        <f>Granger_Inventory[[#This Row],[living_area]]*Lookups!$B$17</f>
        <v>0</v>
      </c>
      <c r="BN644" s="8">
        <f>(Granger_Inventory[[#This Row],[att_gar]]+Granger_Inventory[[#This Row],[blt_gar]])*Lookups!$B$18</f>
        <v>0</v>
      </c>
      <c r="BO644" s="8">
        <f>Granger_Inventory[[#This Row],[Patio]]*Lookups!$B$19</f>
        <v>0</v>
      </c>
      <c r="BP644" s="8">
        <f>SUM(Granger_Inventory[[#This Row],[Intercept]:[Patio_Value]])*Granger_Inventory[[#This Row],[res_pct]]</f>
        <v>0</v>
      </c>
      <c r="BQ644" s="8">
        <f>Granger_Inventory[[#This Row],[land_value]]</f>
        <v>70516.686640467611</v>
      </c>
      <c r="BR644" s="4">
        <f>_xlfn.IFNA(VLOOKUP(Granger_Inventory[[#This Row],[quality]],Lookups!$A$25:$C$35,3,FALSE),1)</f>
        <v>1</v>
      </c>
      <c r="BS644" s="4">
        <f>_xlfn.IFNA(VLOOKUP(Granger_Inventory[[#This Row],[condition]],Lookups!$A$38:$C$45,3,FALSE),1)</f>
        <v>1</v>
      </c>
      <c r="BT644" s="4">
        <f>IF(Granger_Inventory[[#This Row],[decade]]="",1,_xlfn.IFNA(VLOOKUP(Granger_Inventory[[#This Row],[decade]],Lookups!$G$28:$I$42,3,FALSE),1))</f>
        <v>1</v>
      </c>
      <c r="BU644" s="4">
        <f>_xlfn.IFNA(VLOOKUP(Granger_Inventory[[#This Row],[living_area_range]],Lookups!$A$48:$C$57,3,FALSE),1)</f>
        <v>1</v>
      </c>
      <c r="BV644" s="4">
        <f>AVERAGE(Granger_Inventory[[#This Row],[qual_adj]:[living_range_adj]])</f>
        <v>1</v>
      </c>
      <c r="BW644" s="8">
        <f>(Granger_Inventory[[#This Row],[sum_land]]-IF(Granger_Inventory[[#This Row],[no_utilities]]=1,12000,0))/IF(Granger_Inventory[[#This Row],[unbuildable]]=1,2,1)</f>
        <v>70516.686640467611</v>
      </c>
      <c r="BX644" s="8">
        <f>Granger_Inventory[[#This Row],[pre_res]]*Granger_Inventory[[#This Row],[overall_adj]]</f>
        <v>0</v>
      </c>
      <c r="BY644">
        <f>IF(ROUND(Granger_Inventory[[#This Row],[adj_land]]*Lookups!$I$45,-2)&lt;Granger_Inventory[[#This Row],[min_land]],Granger_Inventory[[#This Row],[min_land]],ROUND(Granger_Inventory[[#This Row],[adj_land]]*Lookups!$I$45,-2))</f>
        <v>67000</v>
      </c>
      <c r="BZ644">
        <f>ROUND(Granger_Inventory[[#This Row],[detatched_value]]*Lookups!$I$45,-2)</f>
        <v>0</v>
      </c>
      <c r="CA64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4">
        <f>Granger_Inventory[[#This Row],[final_det]]+Granger_Inventory[[#This Row],[final_res]]</f>
        <v>0</v>
      </c>
      <c r="CC644">
        <f>Granger_Inventory[[#This Row],[final_land]]+Granger_Inventory[[#This Row],[final_imp]]+Granger_Inventory[[#This Row],[crop_value]]</f>
        <v>67000</v>
      </c>
      <c r="CE644" t="str">
        <f t="shared" si="11"/>
        <v>update valuation set market_land =67000, market_bldg=0, market_total =67000, market_mdno =402, market_date ='9/10/2023' where link_id = (select link_id from parcel where parcel_year = '2024' and parcel_id = '21101613417');</v>
      </c>
    </row>
    <row r="645" spans="1:83" x14ac:dyDescent="0.25">
      <c r="A645">
        <v>21101613418</v>
      </c>
      <c r="B645" t="s">
        <v>137</v>
      </c>
      <c r="C645">
        <v>20033</v>
      </c>
      <c r="D645" t="s">
        <v>137</v>
      </c>
      <c r="E645" t="s">
        <v>54</v>
      </c>
      <c r="F645" t="s">
        <v>54</v>
      </c>
      <c r="G645">
        <v>3</v>
      </c>
      <c r="H645" t="s">
        <v>55</v>
      </c>
      <c r="I645" t="s">
        <v>137</v>
      </c>
      <c r="J645" t="s">
        <v>137</v>
      </c>
      <c r="K645">
        <v>0.46</v>
      </c>
      <c r="L645">
        <f>IF(Granger_Inventory[[#This Row],[parcel_acres]]-Granger_Inventory[[#This Row],[non_valued_acres]] =0,0,LN(Granger_Inventory[[#This Row],[parcel_acres]]-Granger_Inventory[[#This Row],[non_valued_acres]]))</f>
        <v>-0.77652878949899629</v>
      </c>
      <c r="M645">
        <v>0</v>
      </c>
      <c r="N645">
        <v>0</v>
      </c>
      <c r="O645">
        <v>0</v>
      </c>
      <c r="P645">
        <v>47108.068500000001</v>
      </c>
      <c r="Q645">
        <v>122298</v>
      </c>
      <c r="R645">
        <f>(Granger_Inventory[[#This Row],[ln_acres]]*Granger_Inventory[[#This Row],[coeff]])+Granger_Inventory[[#This Row],[const]]</f>
        <v>85717.228592059197</v>
      </c>
      <c r="AY645">
        <v>0</v>
      </c>
      <c r="AZ645">
        <v>0</v>
      </c>
      <c r="BE645">
        <v>0</v>
      </c>
      <c r="BF645">
        <v>15000</v>
      </c>
      <c r="BG645">
        <v>0</v>
      </c>
      <c r="BH645" s="8">
        <f>Granger_Inventory[[#This Row],[land_extract]]*Lookups!$B$3</f>
        <v>51064.393162930297</v>
      </c>
      <c r="BI645" s="8">
        <f>IF(Granger_Inventory[[#This Row],[bldg_style]]="",0,Lookups!$B$2)</f>
        <v>0</v>
      </c>
      <c r="BJ645" s="8">
        <f>_xlfn.IFNA(VLOOKUP(Granger_Inventory[[#This Row],[quality]],Lookups!$H$2:$J$14,3,FALSE),0)</f>
        <v>0</v>
      </c>
      <c r="BK645" s="8">
        <f>_xlfn.IFNA(VLOOKUP(Granger_Inventory[[#This Row],[condition]],Lookups!$H$17:$J$24,3,FALSE),0)</f>
        <v>0</v>
      </c>
      <c r="BL645" s="8">
        <f>Granger_Inventory[[#This Row],[Age]]*Lookups!$B$16</f>
        <v>0</v>
      </c>
      <c r="BM645" s="8">
        <f>Granger_Inventory[[#This Row],[living_area]]*Lookups!$B$17</f>
        <v>0</v>
      </c>
      <c r="BN645" s="8">
        <f>(Granger_Inventory[[#This Row],[att_gar]]+Granger_Inventory[[#This Row],[blt_gar]])*Lookups!$B$18</f>
        <v>0</v>
      </c>
      <c r="BO645" s="8">
        <f>Granger_Inventory[[#This Row],[Patio]]*Lookups!$B$19</f>
        <v>0</v>
      </c>
      <c r="BP645" s="8">
        <f>SUM(Granger_Inventory[[#This Row],[Intercept]:[Patio_Value]])*Granger_Inventory[[#This Row],[res_pct]]</f>
        <v>0</v>
      </c>
      <c r="BQ645" s="8">
        <f>Granger_Inventory[[#This Row],[land_value]]</f>
        <v>51064.393162930297</v>
      </c>
      <c r="BR645" s="4">
        <f>_xlfn.IFNA(VLOOKUP(Granger_Inventory[[#This Row],[quality]],Lookups!$A$25:$C$35,3,FALSE),1)</f>
        <v>1</v>
      </c>
      <c r="BS645" s="4">
        <f>_xlfn.IFNA(VLOOKUP(Granger_Inventory[[#This Row],[condition]],Lookups!$A$38:$C$45,3,FALSE),1)</f>
        <v>1</v>
      </c>
      <c r="BT645" s="4">
        <f>IF(Granger_Inventory[[#This Row],[decade]]="",1,_xlfn.IFNA(VLOOKUP(Granger_Inventory[[#This Row],[decade]],Lookups!$G$28:$I$42,3,FALSE),1))</f>
        <v>1</v>
      </c>
      <c r="BU645" s="4">
        <f>_xlfn.IFNA(VLOOKUP(Granger_Inventory[[#This Row],[living_area_range]],Lookups!$A$48:$C$57,3,FALSE),1)</f>
        <v>1</v>
      </c>
      <c r="BV645" s="4">
        <f>AVERAGE(Granger_Inventory[[#This Row],[qual_adj]:[living_range_adj]])</f>
        <v>1</v>
      </c>
      <c r="BW645" s="8">
        <f>(Granger_Inventory[[#This Row],[sum_land]]-IF(Granger_Inventory[[#This Row],[no_utilities]]=1,12000,0))/IF(Granger_Inventory[[#This Row],[unbuildable]]=1,2,1)</f>
        <v>51064.393162930297</v>
      </c>
      <c r="BX645" s="8">
        <f>Granger_Inventory[[#This Row],[pre_res]]*Granger_Inventory[[#This Row],[overall_adj]]</f>
        <v>0</v>
      </c>
      <c r="BY645">
        <f>IF(ROUND(Granger_Inventory[[#This Row],[adj_land]]*Lookups!$I$45,-2)&lt;Granger_Inventory[[#This Row],[min_land]],Granger_Inventory[[#This Row],[min_land]],ROUND(Granger_Inventory[[#This Row],[adj_land]]*Lookups!$I$45,-2))</f>
        <v>48500</v>
      </c>
      <c r="BZ645">
        <f>ROUND(Granger_Inventory[[#This Row],[detatched_value]]*Lookups!$I$45,-2)</f>
        <v>0</v>
      </c>
      <c r="CA64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5">
        <f>Granger_Inventory[[#This Row],[final_det]]+Granger_Inventory[[#This Row],[final_res]]</f>
        <v>0</v>
      </c>
      <c r="CC645">
        <f>Granger_Inventory[[#This Row],[final_land]]+Granger_Inventory[[#This Row],[final_imp]]+Granger_Inventory[[#This Row],[crop_value]]</f>
        <v>48500</v>
      </c>
      <c r="CE645" t="str">
        <f t="shared" si="11"/>
        <v>update valuation set market_land =48500, market_bldg=0, market_total =48500, market_mdno =402, market_date ='9/10/2023' where link_id = (select link_id from parcel where parcel_year = '2024' and parcel_id = '21101613418');</v>
      </c>
    </row>
    <row r="646" spans="1:83" x14ac:dyDescent="0.25">
      <c r="A646">
        <v>21101613419</v>
      </c>
      <c r="B646" t="s">
        <v>137</v>
      </c>
      <c r="C646">
        <v>20033</v>
      </c>
      <c r="D646" t="s">
        <v>137</v>
      </c>
      <c r="E646" t="s">
        <v>54</v>
      </c>
      <c r="F646" t="s">
        <v>54</v>
      </c>
      <c r="G646">
        <v>3</v>
      </c>
      <c r="H646" t="s">
        <v>55</v>
      </c>
      <c r="I646" t="s">
        <v>137</v>
      </c>
      <c r="J646" t="s">
        <v>137</v>
      </c>
      <c r="K646">
        <v>0.46</v>
      </c>
      <c r="L646">
        <f>IF(Granger_Inventory[[#This Row],[parcel_acres]]-Granger_Inventory[[#This Row],[non_valued_acres]] =0,0,LN(Granger_Inventory[[#This Row],[parcel_acres]]-Granger_Inventory[[#This Row],[non_valued_acres]]))</f>
        <v>-0.77652878949899629</v>
      </c>
      <c r="M646">
        <v>0</v>
      </c>
      <c r="N646">
        <v>0</v>
      </c>
      <c r="O646">
        <v>0</v>
      </c>
      <c r="P646">
        <v>47108.068500000001</v>
      </c>
      <c r="Q646">
        <v>122298</v>
      </c>
      <c r="R646">
        <f>(Granger_Inventory[[#This Row],[ln_acres]]*Granger_Inventory[[#This Row],[coeff]])+Granger_Inventory[[#This Row],[const]]</f>
        <v>85717.228592059197</v>
      </c>
      <c r="AY646">
        <v>0</v>
      </c>
      <c r="AZ646">
        <v>0</v>
      </c>
      <c r="BE646">
        <v>0</v>
      </c>
      <c r="BF646">
        <v>15000</v>
      </c>
      <c r="BG646">
        <v>0</v>
      </c>
      <c r="BH646" s="8">
        <f>Granger_Inventory[[#This Row],[land_extract]]*Lookups!$B$3</f>
        <v>51064.393162930297</v>
      </c>
      <c r="BI646" s="8">
        <f>IF(Granger_Inventory[[#This Row],[bldg_style]]="",0,Lookups!$B$2)</f>
        <v>0</v>
      </c>
      <c r="BJ646" s="8">
        <f>_xlfn.IFNA(VLOOKUP(Granger_Inventory[[#This Row],[quality]],Lookups!$H$2:$J$14,3,FALSE),0)</f>
        <v>0</v>
      </c>
      <c r="BK646" s="8">
        <f>_xlfn.IFNA(VLOOKUP(Granger_Inventory[[#This Row],[condition]],Lookups!$H$17:$J$24,3,FALSE),0)</f>
        <v>0</v>
      </c>
      <c r="BL646" s="8">
        <f>Granger_Inventory[[#This Row],[Age]]*Lookups!$B$16</f>
        <v>0</v>
      </c>
      <c r="BM646" s="8">
        <f>Granger_Inventory[[#This Row],[living_area]]*Lookups!$B$17</f>
        <v>0</v>
      </c>
      <c r="BN646" s="8">
        <f>(Granger_Inventory[[#This Row],[att_gar]]+Granger_Inventory[[#This Row],[blt_gar]])*Lookups!$B$18</f>
        <v>0</v>
      </c>
      <c r="BO646" s="8">
        <f>Granger_Inventory[[#This Row],[Patio]]*Lookups!$B$19</f>
        <v>0</v>
      </c>
      <c r="BP646" s="8">
        <f>SUM(Granger_Inventory[[#This Row],[Intercept]:[Patio_Value]])*Granger_Inventory[[#This Row],[res_pct]]</f>
        <v>0</v>
      </c>
      <c r="BQ646" s="8">
        <f>Granger_Inventory[[#This Row],[land_value]]</f>
        <v>51064.393162930297</v>
      </c>
      <c r="BR646" s="4">
        <f>_xlfn.IFNA(VLOOKUP(Granger_Inventory[[#This Row],[quality]],Lookups!$A$25:$C$35,3,FALSE),1)</f>
        <v>1</v>
      </c>
      <c r="BS646" s="4">
        <f>_xlfn.IFNA(VLOOKUP(Granger_Inventory[[#This Row],[condition]],Lookups!$A$38:$C$45,3,FALSE),1)</f>
        <v>1</v>
      </c>
      <c r="BT646" s="4">
        <f>IF(Granger_Inventory[[#This Row],[decade]]="",1,_xlfn.IFNA(VLOOKUP(Granger_Inventory[[#This Row],[decade]],Lookups!$G$28:$I$42,3,FALSE),1))</f>
        <v>1</v>
      </c>
      <c r="BU646" s="4">
        <f>_xlfn.IFNA(VLOOKUP(Granger_Inventory[[#This Row],[living_area_range]],Lookups!$A$48:$C$57,3,FALSE),1)</f>
        <v>1</v>
      </c>
      <c r="BV646" s="4">
        <f>AVERAGE(Granger_Inventory[[#This Row],[qual_adj]:[living_range_adj]])</f>
        <v>1</v>
      </c>
      <c r="BW646" s="8">
        <f>(Granger_Inventory[[#This Row],[sum_land]]-IF(Granger_Inventory[[#This Row],[no_utilities]]=1,12000,0))/IF(Granger_Inventory[[#This Row],[unbuildable]]=1,2,1)</f>
        <v>51064.393162930297</v>
      </c>
      <c r="BX646" s="8">
        <f>Granger_Inventory[[#This Row],[pre_res]]*Granger_Inventory[[#This Row],[overall_adj]]</f>
        <v>0</v>
      </c>
      <c r="BY646">
        <f>IF(ROUND(Granger_Inventory[[#This Row],[adj_land]]*Lookups!$I$45,-2)&lt;Granger_Inventory[[#This Row],[min_land]],Granger_Inventory[[#This Row],[min_land]],ROUND(Granger_Inventory[[#This Row],[adj_land]]*Lookups!$I$45,-2))</f>
        <v>48500</v>
      </c>
      <c r="BZ646">
        <f>ROUND(Granger_Inventory[[#This Row],[detatched_value]]*Lookups!$I$45,-2)</f>
        <v>0</v>
      </c>
      <c r="CA64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6">
        <f>Granger_Inventory[[#This Row],[final_det]]+Granger_Inventory[[#This Row],[final_res]]</f>
        <v>0</v>
      </c>
      <c r="CC646">
        <f>Granger_Inventory[[#This Row],[final_land]]+Granger_Inventory[[#This Row],[final_imp]]+Granger_Inventory[[#This Row],[crop_value]]</f>
        <v>48500</v>
      </c>
      <c r="CE646" t="str">
        <f t="shared" si="11"/>
        <v>update valuation set market_land =48500, market_bldg=0, market_total =48500, market_mdno =402, market_date ='9/10/2023' where link_id = (select link_id from parcel where parcel_year = '2024' and parcel_id = '21101613419');</v>
      </c>
    </row>
    <row r="647" spans="1:83" x14ac:dyDescent="0.25">
      <c r="A647">
        <v>21101613420</v>
      </c>
      <c r="B647" t="s">
        <v>137</v>
      </c>
      <c r="C647">
        <v>20946</v>
      </c>
      <c r="D647" t="s">
        <v>137</v>
      </c>
      <c r="E647" t="s">
        <v>54</v>
      </c>
      <c r="F647" t="s">
        <v>54</v>
      </c>
      <c r="G647">
        <v>3</v>
      </c>
      <c r="H647" t="s">
        <v>55</v>
      </c>
      <c r="I647" t="s">
        <v>137</v>
      </c>
      <c r="J647" t="s">
        <v>137</v>
      </c>
      <c r="K647">
        <v>0.48</v>
      </c>
      <c r="L647">
        <f>IF(Granger_Inventory[[#This Row],[parcel_acres]]-Granger_Inventory[[#This Row],[non_valued_acres]] =0,0,LN(Granger_Inventory[[#This Row],[parcel_acres]]-Granger_Inventory[[#This Row],[non_valued_acres]]))</f>
        <v>-0.73396917508020043</v>
      </c>
      <c r="M647">
        <v>0</v>
      </c>
      <c r="N647">
        <v>0</v>
      </c>
      <c r="O647">
        <v>0</v>
      </c>
      <c r="P647">
        <v>47108.068500000001</v>
      </c>
      <c r="Q647">
        <v>122298</v>
      </c>
      <c r="R647">
        <f>(Granger_Inventory[[#This Row],[ln_acres]]*Granger_Inventory[[#This Row],[coeff]])+Granger_Inventory[[#This Row],[const]]</f>
        <v>87722.129823433424</v>
      </c>
      <c r="AY647">
        <v>0</v>
      </c>
      <c r="AZ647">
        <v>0</v>
      </c>
      <c r="BE647">
        <v>0</v>
      </c>
      <c r="BF647">
        <v>15000</v>
      </c>
      <c r="BG647">
        <v>0</v>
      </c>
      <c r="BH647" s="8">
        <f>Granger_Inventory[[#This Row],[land_extract]]*Lookups!$B$3</f>
        <v>52258.774577417855</v>
      </c>
      <c r="BI647" s="8">
        <f>IF(Granger_Inventory[[#This Row],[bldg_style]]="",0,Lookups!$B$2)</f>
        <v>0</v>
      </c>
      <c r="BJ647" s="8">
        <f>_xlfn.IFNA(VLOOKUP(Granger_Inventory[[#This Row],[quality]],Lookups!$H$2:$J$14,3,FALSE),0)</f>
        <v>0</v>
      </c>
      <c r="BK647" s="8">
        <f>_xlfn.IFNA(VLOOKUP(Granger_Inventory[[#This Row],[condition]],Lookups!$H$17:$J$24,3,FALSE),0)</f>
        <v>0</v>
      </c>
      <c r="BL647" s="8">
        <f>Granger_Inventory[[#This Row],[Age]]*Lookups!$B$16</f>
        <v>0</v>
      </c>
      <c r="BM647" s="8">
        <f>Granger_Inventory[[#This Row],[living_area]]*Lookups!$B$17</f>
        <v>0</v>
      </c>
      <c r="BN647" s="8">
        <f>(Granger_Inventory[[#This Row],[att_gar]]+Granger_Inventory[[#This Row],[blt_gar]])*Lookups!$B$18</f>
        <v>0</v>
      </c>
      <c r="BO647" s="8">
        <f>Granger_Inventory[[#This Row],[Patio]]*Lookups!$B$19</f>
        <v>0</v>
      </c>
      <c r="BP647" s="8">
        <f>SUM(Granger_Inventory[[#This Row],[Intercept]:[Patio_Value]])*Granger_Inventory[[#This Row],[res_pct]]</f>
        <v>0</v>
      </c>
      <c r="BQ647" s="8">
        <f>Granger_Inventory[[#This Row],[land_value]]</f>
        <v>52258.774577417855</v>
      </c>
      <c r="BR647" s="4">
        <f>_xlfn.IFNA(VLOOKUP(Granger_Inventory[[#This Row],[quality]],Lookups!$A$25:$C$35,3,FALSE),1)</f>
        <v>1</v>
      </c>
      <c r="BS647" s="4">
        <f>_xlfn.IFNA(VLOOKUP(Granger_Inventory[[#This Row],[condition]],Lookups!$A$38:$C$45,3,FALSE),1)</f>
        <v>1</v>
      </c>
      <c r="BT647" s="4">
        <f>IF(Granger_Inventory[[#This Row],[decade]]="",1,_xlfn.IFNA(VLOOKUP(Granger_Inventory[[#This Row],[decade]],Lookups!$G$28:$I$42,3,FALSE),1))</f>
        <v>1</v>
      </c>
      <c r="BU647" s="4">
        <f>_xlfn.IFNA(VLOOKUP(Granger_Inventory[[#This Row],[living_area_range]],Lookups!$A$48:$C$57,3,FALSE),1)</f>
        <v>1</v>
      </c>
      <c r="BV647" s="4">
        <f>AVERAGE(Granger_Inventory[[#This Row],[qual_adj]:[living_range_adj]])</f>
        <v>1</v>
      </c>
      <c r="BW647" s="8">
        <f>(Granger_Inventory[[#This Row],[sum_land]]-IF(Granger_Inventory[[#This Row],[no_utilities]]=1,12000,0))/IF(Granger_Inventory[[#This Row],[unbuildable]]=1,2,1)</f>
        <v>52258.774577417855</v>
      </c>
      <c r="BX647" s="8">
        <f>Granger_Inventory[[#This Row],[pre_res]]*Granger_Inventory[[#This Row],[overall_adj]]</f>
        <v>0</v>
      </c>
      <c r="BY647">
        <f>IF(ROUND(Granger_Inventory[[#This Row],[adj_land]]*Lookups!$I$45,-2)&lt;Granger_Inventory[[#This Row],[min_land]],Granger_Inventory[[#This Row],[min_land]],ROUND(Granger_Inventory[[#This Row],[adj_land]]*Lookups!$I$45,-2))</f>
        <v>49600</v>
      </c>
      <c r="BZ647">
        <f>ROUND(Granger_Inventory[[#This Row],[detatched_value]]*Lookups!$I$45,-2)</f>
        <v>0</v>
      </c>
      <c r="CA64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7">
        <f>Granger_Inventory[[#This Row],[final_det]]+Granger_Inventory[[#This Row],[final_res]]</f>
        <v>0</v>
      </c>
      <c r="CC647">
        <f>Granger_Inventory[[#This Row],[final_land]]+Granger_Inventory[[#This Row],[final_imp]]+Granger_Inventory[[#This Row],[crop_value]]</f>
        <v>49600</v>
      </c>
      <c r="CE647" t="str">
        <f t="shared" si="11"/>
        <v>update valuation set market_land =49600, market_bldg=0, market_total =49600, market_mdno =402, market_date ='9/10/2023' where link_id = (select link_id from parcel where parcel_year = '2024' and parcel_id = '21101613420');</v>
      </c>
    </row>
    <row r="648" spans="1:83" x14ac:dyDescent="0.25">
      <c r="A648">
        <v>21101613421</v>
      </c>
      <c r="B648" t="s">
        <v>137</v>
      </c>
      <c r="C648">
        <v>20946</v>
      </c>
      <c r="D648" t="s">
        <v>137</v>
      </c>
      <c r="E648" t="s">
        <v>54</v>
      </c>
      <c r="F648" t="s">
        <v>54</v>
      </c>
      <c r="G648">
        <v>3</v>
      </c>
      <c r="H648" t="s">
        <v>55</v>
      </c>
      <c r="I648" t="s">
        <v>137</v>
      </c>
      <c r="J648" t="s">
        <v>137</v>
      </c>
      <c r="K648">
        <v>0.48</v>
      </c>
      <c r="L648">
        <f>IF(Granger_Inventory[[#This Row],[parcel_acres]]-Granger_Inventory[[#This Row],[non_valued_acres]] =0,0,LN(Granger_Inventory[[#This Row],[parcel_acres]]-Granger_Inventory[[#This Row],[non_valued_acres]]))</f>
        <v>-0.73396917508020043</v>
      </c>
      <c r="M648">
        <v>0</v>
      </c>
      <c r="N648">
        <v>0</v>
      </c>
      <c r="O648">
        <v>0</v>
      </c>
      <c r="P648">
        <v>47108.068500000001</v>
      </c>
      <c r="Q648">
        <v>122298</v>
      </c>
      <c r="R648">
        <f>(Granger_Inventory[[#This Row],[ln_acres]]*Granger_Inventory[[#This Row],[coeff]])+Granger_Inventory[[#This Row],[const]]</f>
        <v>87722.129823433424</v>
      </c>
      <c r="AY648">
        <v>0</v>
      </c>
      <c r="AZ648">
        <v>0</v>
      </c>
      <c r="BE648">
        <v>0</v>
      </c>
      <c r="BF648">
        <v>15000</v>
      </c>
      <c r="BG648">
        <v>0</v>
      </c>
      <c r="BH648" s="8">
        <f>Granger_Inventory[[#This Row],[land_extract]]*Lookups!$B$3</f>
        <v>52258.774577417855</v>
      </c>
      <c r="BI648" s="8">
        <f>IF(Granger_Inventory[[#This Row],[bldg_style]]="",0,Lookups!$B$2)</f>
        <v>0</v>
      </c>
      <c r="BJ648" s="8">
        <f>_xlfn.IFNA(VLOOKUP(Granger_Inventory[[#This Row],[quality]],Lookups!$H$2:$J$14,3,FALSE),0)</f>
        <v>0</v>
      </c>
      <c r="BK648" s="8">
        <f>_xlfn.IFNA(VLOOKUP(Granger_Inventory[[#This Row],[condition]],Lookups!$H$17:$J$24,3,FALSE),0)</f>
        <v>0</v>
      </c>
      <c r="BL648" s="8">
        <f>Granger_Inventory[[#This Row],[Age]]*Lookups!$B$16</f>
        <v>0</v>
      </c>
      <c r="BM648" s="8">
        <f>Granger_Inventory[[#This Row],[living_area]]*Lookups!$B$17</f>
        <v>0</v>
      </c>
      <c r="BN648" s="8">
        <f>(Granger_Inventory[[#This Row],[att_gar]]+Granger_Inventory[[#This Row],[blt_gar]])*Lookups!$B$18</f>
        <v>0</v>
      </c>
      <c r="BO648" s="8">
        <f>Granger_Inventory[[#This Row],[Patio]]*Lookups!$B$19</f>
        <v>0</v>
      </c>
      <c r="BP648" s="8">
        <f>SUM(Granger_Inventory[[#This Row],[Intercept]:[Patio_Value]])*Granger_Inventory[[#This Row],[res_pct]]</f>
        <v>0</v>
      </c>
      <c r="BQ648" s="8">
        <f>Granger_Inventory[[#This Row],[land_value]]</f>
        <v>52258.774577417855</v>
      </c>
      <c r="BR648" s="4">
        <f>_xlfn.IFNA(VLOOKUP(Granger_Inventory[[#This Row],[quality]],Lookups!$A$25:$C$35,3,FALSE),1)</f>
        <v>1</v>
      </c>
      <c r="BS648" s="4">
        <f>_xlfn.IFNA(VLOOKUP(Granger_Inventory[[#This Row],[condition]],Lookups!$A$38:$C$45,3,FALSE),1)</f>
        <v>1</v>
      </c>
      <c r="BT648" s="4">
        <f>IF(Granger_Inventory[[#This Row],[decade]]="",1,_xlfn.IFNA(VLOOKUP(Granger_Inventory[[#This Row],[decade]],Lookups!$G$28:$I$42,3,FALSE),1))</f>
        <v>1</v>
      </c>
      <c r="BU648" s="4">
        <f>_xlfn.IFNA(VLOOKUP(Granger_Inventory[[#This Row],[living_area_range]],Lookups!$A$48:$C$57,3,FALSE),1)</f>
        <v>1</v>
      </c>
      <c r="BV648" s="4">
        <f>AVERAGE(Granger_Inventory[[#This Row],[qual_adj]:[living_range_adj]])</f>
        <v>1</v>
      </c>
      <c r="BW648" s="8">
        <f>(Granger_Inventory[[#This Row],[sum_land]]-IF(Granger_Inventory[[#This Row],[no_utilities]]=1,12000,0))/IF(Granger_Inventory[[#This Row],[unbuildable]]=1,2,1)</f>
        <v>52258.774577417855</v>
      </c>
      <c r="BX648" s="8">
        <f>Granger_Inventory[[#This Row],[pre_res]]*Granger_Inventory[[#This Row],[overall_adj]]</f>
        <v>0</v>
      </c>
      <c r="BY648">
        <f>IF(ROUND(Granger_Inventory[[#This Row],[adj_land]]*Lookups!$I$45,-2)&lt;Granger_Inventory[[#This Row],[min_land]],Granger_Inventory[[#This Row],[min_land]],ROUND(Granger_Inventory[[#This Row],[adj_land]]*Lookups!$I$45,-2))</f>
        <v>49600</v>
      </c>
      <c r="BZ648">
        <f>ROUND(Granger_Inventory[[#This Row],[detatched_value]]*Lookups!$I$45,-2)</f>
        <v>0</v>
      </c>
      <c r="CA64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8">
        <f>Granger_Inventory[[#This Row],[final_det]]+Granger_Inventory[[#This Row],[final_res]]</f>
        <v>0</v>
      </c>
      <c r="CC648">
        <f>Granger_Inventory[[#This Row],[final_land]]+Granger_Inventory[[#This Row],[final_imp]]+Granger_Inventory[[#This Row],[crop_value]]</f>
        <v>49600</v>
      </c>
      <c r="CE648" t="str">
        <f t="shared" si="11"/>
        <v>update valuation set market_land =49600, market_bldg=0, market_total =49600, market_mdno =402, market_date ='9/10/2023' where link_id = (select link_id from parcel where parcel_year = '2024' and parcel_id = '21101613421');</v>
      </c>
    </row>
    <row r="649" spans="1:83" x14ac:dyDescent="0.25">
      <c r="A649">
        <v>21101613422</v>
      </c>
      <c r="B649" t="s">
        <v>137</v>
      </c>
      <c r="C649">
        <v>28173</v>
      </c>
      <c r="D649" t="s">
        <v>137</v>
      </c>
      <c r="E649" t="s">
        <v>54</v>
      </c>
      <c r="F649" t="s">
        <v>54</v>
      </c>
      <c r="G649">
        <v>3</v>
      </c>
      <c r="H649" t="s">
        <v>55</v>
      </c>
      <c r="I649" t="s">
        <v>137</v>
      </c>
      <c r="J649" t="s">
        <v>137</v>
      </c>
      <c r="K649">
        <v>0.65</v>
      </c>
      <c r="L649">
        <f>IF(Granger_Inventory[[#This Row],[parcel_acres]]-Granger_Inventory[[#This Row],[non_valued_acres]] =0,0,LN(Granger_Inventory[[#This Row],[parcel_acres]]-Granger_Inventory[[#This Row],[non_valued_acres]]))</f>
        <v>-0.43078291609245423</v>
      </c>
      <c r="M649">
        <v>0</v>
      </c>
      <c r="N649">
        <v>0</v>
      </c>
      <c r="O649">
        <v>0</v>
      </c>
      <c r="P649">
        <v>47108.068500000001</v>
      </c>
      <c r="Q649">
        <v>122298</v>
      </c>
      <c r="R649">
        <f>(Granger_Inventory[[#This Row],[ln_acres]]*Granger_Inventory[[#This Row],[coeff]])+Granger_Inventory[[#This Row],[const]]</f>
        <v>102004.64888008691</v>
      </c>
      <c r="AY649">
        <v>0</v>
      </c>
      <c r="AZ649">
        <v>0</v>
      </c>
      <c r="BE649">
        <v>0</v>
      </c>
      <c r="BF649">
        <v>15000</v>
      </c>
      <c r="BG649">
        <v>0</v>
      </c>
      <c r="BH649" s="8">
        <f>Granger_Inventory[[#This Row],[land_extract]]*Lookups!$B$3</f>
        <v>60767.311081053282</v>
      </c>
      <c r="BI649" s="8">
        <f>IF(Granger_Inventory[[#This Row],[bldg_style]]="",0,Lookups!$B$2)</f>
        <v>0</v>
      </c>
      <c r="BJ649" s="8">
        <f>_xlfn.IFNA(VLOOKUP(Granger_Inventory[[#This Row],[quality]],Lookups!$H$2:$J$14,3,FALSE),0)</f>
        <v>0</v>
      </c>
      <c r="BK649" s="8">
        <f>_xlfn.IFNA(VLOOKUP(Granger_Inventory[[#This Row],[condition]],Lookups!$H$17:$J$24,3,FALSE),0)</f>
        <v>0</v>
      </c>
      <c r="BL649" s="8">
        <f>Granger_Inventory[[#This Row],[Age]]*Lookups!$B$16</f>
        <v>0</v>
      </c>
      <c r="BM649" s="8">
        <f>Granger_Inventory[[#This Row],[living_area]]*Lookups!$B$17</f>
        <v>0</v>
      </c>
      <c r="BN649" s="8">
        <f>(Granger_Inventory[[#This Row],[att_gar]]+Granger_Inventory[[#This Row],[blt_gar]])*Lookups!$B$18</f>
        <v>0</v>
      </c>
      <c r="BO649" s="8">
        <f>Granger_Inventory[[#This Row],[Patio]]*Lookups!$B$19</f>
        <v>0</v>
      </c>
      <c r="BP649" s="8">
        <f>SUM(Granger_Inventory[[#This Row],[Intercept]:[Patio_Value]])*Granger_Inventory[[#This Row],[res_pct]]</f>
        <v>0</v>
      </c>
      <c r="BQ649" s="8">
        <f>Granger_Inventory[[#This Row],[land_value]]</f>
        <v>60767.311081053282</v>
      </c>
      <c r="BR649" s="4">
        <f>_xlfn.IFNA(VLOOKUP(Granger_Inventory[[#This Row],[quality]],Lookups!$A$25:$C$35,3,FALSE),1)</f>
        <v>1</v>
      </c>
      <c r="BS649" s="4">
        <f>_xlfn.IFNA(VLOOKUP(Granger_Inventory[[#This Row],[condition]],Lookups!$A$38:$C$45,3,FALSE),1)</f>
        <v>1</v>
      </c>
      <c r="BT649" s="4">
        <f>IF(Granger_Inventory[[#This Row],[decade]]="",1,_xlfn.IFNA(VLOOKUP(Granger_Inventory[[#This Row],[decade]],Lookups!$G$28:$I$42,3,FALSE),1))</f>
        <v>1</v>
      </c>
      <c r="BU649" s="4">
        <f>_xlfn.IFNA(VLOOKUP(Granger_Inventory[[#This Row],[living_area_range]],Lookups!$A$48:$C$57,3,FALSE),1)</f>
        <v>1</v>
      </c>
      <c r="BV649" s="4">
        <f>AVERAGE(Granger_Inventory[[#This Row],[qual_adj]:[living_range_adj]])</f>
        <v>1</v>
      </c>
      <c r="BW649" s="8">
        <f>(Granger_Inventory[[#This Row],[sum_land]]-IF(Granger_Inventory[[#This Row],[no_utilities]]=1,12000,0))/IF(Granger_Inventory[[#This Row],[unbuildable]]=1,2,1)</f>
        <v>60767.311081053282</v>
      </c>
      <c r="BX649" s="8">
        <f>Granger_Inventory[[#This Row],[pre_res]]*Granger_Inventory[[#This Row],[overall_adj]]</f>
        <v>0</v>
      </c>
      <c r="BY649">
        <f>IF(ROUND(Granger_Inventory[[#This Row],[adj_land]]*Lookups!$I$45,-2)&lt;Granger_Inventory[[#This Row],[min_land]],Granger_Inventory[[#This Row],[min_land]],ROUND(Granger_Inventory[[#This Row],[adj_land]]*Lookups!$I$45,-2))</f>
        <v>57700</v>
      </c>
      <c r="BZ649">
        <f>ROUND(Granger_Inventory[[#This Row],[detatched_value]]*Lookups!$I$45,-2)</f>
        <v>0</v>
      </c>
      <c r="CA64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49">
        <f>Granger_Inventory[[#This Row],[final_det]]+Granger_Inventory[[#This Row],[final_res]]</f>
        <v>0</v>
      </c>
      <c r="CC649">
        <f>Granger_Inventory[[#This Row],[final_land]]+Granger_Inventory[[#This Row],[final_imp]]+Granger_Inventory[[#This Row],[crop_value]]</f>
        <v>57700</v>
      </c>
      <c r="CE649" t="str">
        <f t="shared" si="11"/>
        <v>update valuation set market_land =57700, market_bldg=0, market_total =57700, market_mdno =402, market_date ='9/10/2023' where link_id = (select link_id from parcel where parcel_year = '2024' and parcel_id = '21101613422');</v>
      </c>
    </row>
    <row r="650" spans="1:83" x14ac:dyDescent="0.25">
      <c r="A650">
        <v>21101624002</v>
      </c>
      <c r="B650">
        <v>17.77</v>
      </c>
      <c r="C650">
        <v>774146</v>
      </c>
      <c r="D650" t="s">
        <v>137</v>
      </c>
      <c r="E650" t="s">
        <v>54</v>
      </c>
      <c r="F650" t="s">
        <v>54</v>
      </c>
      <c r="G650">
        <v>3</v>
      </c>
      <c r="H650" t="s">
        <v>55</v>
      </c>
      <c r="I650">
        <v>0</v>
      </c>
      <c r="J650">
        <v>106600</v>
      </c>
      <c r="K650">
        <v>17.77</v>
      </c>
      <c r="L650">
        <f>IF(Granger_Inventory[[#This Row],[parcel_acres]]-Granger_Inventory[[#This Row],[non_valued_acres]] =0,0,LN(Granger_Inventory[[#This Row],[parcel_acres]]-Granger_Inventory[[#This Row],[non_valued_acres]]))</f>
        <v>2.8775116421665601</v>
      </c>
      <c r="M650">
        <v>0</v>
      </c>
      <c r="N650">
        <v>0</v>
      </c>
      <c r="O650">
        <v>0</v>
      </c>
      <c r="P650">
        <v>47108.068500000001</v>
      </c>
      <c r="Q650">
        <v>122298</v>
      </c>
      <c r="R650">
        <f>(Granger_Inventory[[#This Row],[ln_acres]]*Granger_Inventory[[#This Row],[coeff]])+Granger_Inventory[[#This Row],[const]]</f>
        <v>257852.0155487298</v>
      </c>
      <c r="AY650">
        <v>0</v>
      </c>
      <c r="AZ650">
        <v>0</v>
      </c>
      <c r="BE650">
        <v>0</v>
      </c>
      <c r="BF650">
        <v>15000</v>
      </c>
      <c r="BG650">
        <v>0</v>
      </c>
      <c r="BH650" s="8">
        <f>Granger_Inventory[[#This Row],[land_extract]]*Lookups!$B$3</f>
        <v>153610.38750445723</v>
      </c>
      <c r="BI650" s="8">
        <f>IF(Granger_Inventory[[#This Row],[bldg_style]]="",0,Lookups!$B$2)</f>
        <v>0</v>
      </c>
      <c r="BJ650" s="8">
        <f>_xlfn.IFNA(VLOOKUP(Granger_Inventory[[#This Row],[quality]],Lookups!$H$2:$J$14,3,FALSE),0)</f>
        <v>0</v>
      </c>
      <c r="BK650" s="8">
        <f>_xlfn.IFNA(VLOOKUP(Granger_Inventory[[#This Row],[condition]],Lookups!$H$17:$J$24,3,FALSE),0)</f>
        <v>0</v>
      </c>
      <c r="BL650" s="8">
        <f>Granger_Inventory[[#This Row],[Age]]*Lookups!$B$16</f>
        <v>0</v>
      </c>
      <c r="BM650" s="8">
        <f>Granger_Inventory[[#This Row],[living_area]]*Lookups!$B$17</f>
        <v>0</v>
      </c>
      <c r="BN650" s="8">
        <f>(Granger_Inventory[[#This Row],[att_gar]]+Granger_Inventory[[#This Row],[blt_gar]])*Lookups!$B$18</f>
        <v>0</v>
      </c>
      <c r="BO650" s="8">
        <f>Granger_Inventory[[#This Row],[Patio]]*Lookups!$B$19</f>
        <v>0</v>
      </c>
      <c r="BP650" s="8">
        <f>SUM(Granger_Inventory[[#This Row],[Intercept]:[Patio_Value]])*Granger_Inventory[[#This Row],[res_pct]]</f>
        <v>0</v>
      </c>
      <c r="BQ650" s="8">
        <f>Granger_Inventory[[#This Row],[land_value]]</f>
        <v>153610.38750445723</v>
      </c>
      <c r="BR650" s="4">
        <f>_xlfn.IFNA(VLOOKUP(Granger_Inventory[[#This Row],[quality]],Lookups!$A$25:$C$35,3,FALSE),1)</f>
        <v>1</v>
      </c>
      <c r="BS650" s="4">
        <f>_xlfn.IFNA(VLOOKUP(Granger_Inventory[[#This Row],[condition]],Lookups!$A$38:$C$45,3,FALSE),1)</f>
        <v>1</v>
      </c>
      <c r="BT650" s="4">
        <f>IF(Granger_Inventory[[#This Row],[decade]]="",1,_xlfn.IFNA(VLOOKUP(Granger_Inventory[[#This Row],[decade]],Lookups!$G$28:$I$42,3,FALSE),1))</f>
        <v>1</v>
      </c>
      <c r="BU650" s="4">
        <f>_xlfn.IFNA(VLOOKUP(Granger_Inventory[[#This Row],[living_area_range]],Lookups!$A$48:$C$57,3,FALSE),1)</f>
        <v>1</v>
      </c>
      <c r="BV650" s="4">
        <f>AVERAGE(Granger_Inventory[[#This Row],[qual_adj]:[living_range_adj]])</f>
        <v>1</v>
      </c>
      <c r="BW650" s="8">
        <f>(Granger_Inventory[[#This Row],[sum_land]]-IF(Granger_Inventory[[#This Row],[no_utilities]]=1,12000,0))/IF(Granger_Inventory[[#This Row],[unbuildable]]=1,2,1)</f>
        <v>153610.38750445723</v>
      </c>
      <c r="BX650" s="8">
        <f>Granger_Inventory[[#This Row],[pre_res]]*Granger_Inventory[[#This Row],[overall_adj]]</f>
        <v>0</v>
      </c>
      <c r="BY650">
        <f>IF(ROUND(Granger_Inventory[[#This Row],[adj_land]]*Lookups!$I$45,-2)&lt;Granger_Inventory[[#This Row],[min_land]],Granger_Inventory[[#This Row],[min_land]],ROUND(Granger_Inventory[[#This Row],[adj_land]]*Lookups!$I$45,-2))</f>
        <v>145900</v>
      </c>
      <c r="BZ650">
        <f>ROUND(Granger_Inventory[[#This Row],[detatched_value]]*Lookups!$I$45,-2)</f>
        <v>0</v>
      </c>
      <c r="CA65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0">
        <f>Granger_Inventory[[#This Row],[final_det]]+Granger_Inventory[[#This Row],[final_res]]</f>
        <v>0</v>
      </c>
      <c r="CC650">
        <f>Granger_Inventory[[#This Row],[final_land]]+Granger_Inventory[[#This Row],[final_imp]]+Granger_Inventory[[#This Row],[crop_value]]</f>
        <v>145900</v>
      </c>
      <c r="CE650" t="str">
        <f t="shared" si="11"/>
        <v>update valuation set market_land =145900, market_bldg=0, market_total =145900, market_mdno =402, market_date ='9/10/2023' where link_id = (select link_id from parcel where parcel_year = '2024' and parcel_id = '21101624002');</v>
      </c>
    </row>
    <row r="651" spans="1:83" x14ac:dyDescent="0.25">
      <c r="A651">
        <v>21101624004</v>
      </c>
      <c r="B651">
        <v>15.83</v>
      </c>
      <c r="C651">
        <v>689747</v>
      </c>
      <c r="D651" t="s">
        <v>137</v>
      </c>
      <c r="E651" t="s">
        <v>54</v>
      </c>
      <c r="F651" t="s">
        <v>54</v>
      </c>
      <c r="G651">
        <v>3</v>
      </c>
      <c r="H651" t="s">
        <v>55</v>
      </c>
      <c r="I651">
        <v>0</v>
      </c>
      <c r="J651">
        <v>95000</v>
      </c>
      <c r="K651">
        <v>15.83</v>
      </c>
      <c r="L651">
        <f>IF(Granger_Inventory[[#This Row],[parcel_acres]]-Granger_Inventory[[#This Row],[non_valued_acres]] =0,0,LN(Granger_Inventory[[#This Row],[parcel_acres]]-Granger_Inventory[[#This Row],[non_valued_acres]]))</f>
        <v>2.7619068738929209</v>
      </c>
      <c r="M651">
        <v>0</v>
      </c>
      <c r="N651">
        <v>0</v>
      </c>
      <c r="O651">
        <v>0</v>
      </c>
      <c r="P651">
        <v>47108.068500000001</v>
      </c>
      <c r="Q651">
        <v>122298</v>
      </c>
      <c r="R651">
        <f>(Granger_Inventory[[#This Row],[ln_acres]]*Granger_Inventory[[#This Row],[coeff]])+Granger_Inventory[[#This Row],[const]]</f>
        <v>252406.09820596856</v>
      </c>
      <c r="AY651">
        <v>0</v>
      </c>
      <c r="AZ651">
        <v>0</v>
      </c>
      <c r="BE651">
        <v>0</v>
      </c>
      <c r="BF651">
        <v>15000</v>
      </c>
      <c r="BG651">
        <v>0</v>
      </c>
      <c r="BH651" s="8">
        <f>Granger_Inventory[[#This Row],[land_extract]]*Lookups!$B$3</f>
        <v>150366.08680912023</v>
      </c>
      <c r="BI651" s="8">
        <f>IF(Granger_Inventory[[#This Row],[bldg_style]]="",0,Lookups!$B$2)</f>
        <v>0</v>
      </c>
      <c r="BJ651" s="8">
        <f>_xlfn.IFNA(VLOOKUP(Granger_Inventory[[#This Row],[quality]],Lookups!$H$2:$J$14,3,FALSE),0)</f>
        <v>0</v>
      </c>
      <c r="BK651" s="8">
        <f>_xlfn.IFNA(VLOOKUP(Granger_Inventory[[#This Row],[condition]],Lookups!$H$17:$J$24,3,FALSE),0)</f>
        <v>0</v>
      </c>
      <c r="BL651" s="8">
        <f>Granger_Inventory[[#This Row],[Age]]*Lookups!$B$16</f>
        <v>0</v>
      </c>
      <c r="BM651" s="8">
        <f>Granger_Inventory[[#This Row],[living_area]]*Lookups!$B$17</f>
        <v>0</v>
      </c>
      <c r="BN651" s="8">
        <f>(Granger_Inventory[[#This Row],[att_gar]]+Granger_Inventory[[#This Row],[blt_gar]])*Lookups!$B$18</f>
        <v>0</v>
      </c>
      <c r="BO651" s="8">
        <f>Granger_Inventory[[#This Row],[Patio]]*Lookups!$B$19</f>
        <v>0</v>
      </c>
      <c r="BP651" s="8">
        <f>SUM(Granger_Inventory[[#This Row],[Intercept]:[Patio_Value]])*Granger_Inventory[[#This Row],[res_pct]]</f>
        <v>0</v>
      </c>
      <c r="BQ651" s="8">
        <f>Granger_Inventory[[#This Row],[land_value]]</f>
        <v>150366.08680912023</v>
      </c>
      <c r="BR651" s="4">
        <f>_xlfn.IFNA(VLOOKUP(Granger_Inventory[[#This Row],[quality]],Lookups!$A$25:$C$35,3,FALSE),1)</f>
        <v>1</v>
      </c>
      <c r="BS651" s="4">
        <f>_xlfn.IFNA(VLOOKUP(Granger_Inventory[[#This Row],[condition]],Lookups!$A$38:$C$45,3,FALSE),1)</f>
        <v>1</v>
      </c>
      <c r="BT651" s="4">
        <f>IF(Granger_Inventory[[#This Row],[decade]]="",1,_xlfn.IFNA(VLOOKUP(Granger_Inventory[[#This Row],[decade]],Lookups!$G$28:$I$42,3,FALSE),1))</f>
        <v>1</v>
      </c>
      <c r="BU651" s="4">
        <f>_xlfn.IFNA(VLOOKUP(Granger_Inventory[[#This Row],[living_area_range]],Lookups!$A$48:$C$57,3,FALSE),1)</f>
        <v>1</v>
      </c>
      <c r="BV651" s="4">
        <f>AVERAGE(Granger_Inventory[[#This Row],[qual_adj]:[living_range_adj]])</f>
        <v>1</v>
      </c>
      <c r="BW651" s="8">
        <f>(Granger_Inventory[[#This Row],[sum_land]]-IF(Granger_Inventory[[#This Row],[no_utilities]]=1,12000,0))/IF(Granger_Inventory[[#This Row],[unbuildable]]=1,2,1)</f>
        <v>150366.08680912023</v>
      </c>
      <c r="BX651" s="8">
        <f>Granger_Inventory[[#This Row],[pre_res]]*Granger_Inventory[[#This Row],[overall_adj]]</f>
        <v>0</v>
      </c>
      <c r="BY651">
        <f>IF(ROUND(Granger_Inventory[[#This Row],[adj_land]]*Lookups!$I$45,-2)&lt;Granger_Inventory[[#This Row],[min_land]],Granger_Inventory[[#This Row],[min_land]],ROUND(Granger_Inventory[[#This Row],[adj_land]]*Lookups!$I$45,-2))</f>
        <v>142800</v>
      </c>
      <c r="BZ651">
        <f>ROUND(Granger_Inventory[[#This Row],[detatched_value]]*Lookups!$I$45,-2)</f>
        <v>0</v>
      </c>
      <c r="CA65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1">
        <f>Granger_Inventory[[#This Row],[final_det]]+Granger_Inventory[[#This Row],[final_res]]</f>
        <v>0</v>
      </c>
      <c r="CC651">
        <f>Granger_Inventory[[#This Row],[final_land]]+Granger_Inventory[[#This Row],[final_imp]]+Granger_Inventory[[#This Row],[crop_value]]</f>
        <v>142800</v>
      </c>
      <c r="CE651" t="str">
        <f t="shared" si="11"/>
        <v>update valuation set market_land =142800, market_bldg=0, market_total =142800, market_mdno =402, market_date ='9/10/2023' where link_id = (select link_id from parcel where parcel_year = '2024' and parcel_id = '21101624004');</v>
      </c>
    </row>
    <row r="652" spans="1:83" x14ac:dyDescent="0.25">
      <c r="A652">
        <v>21101631004</v>
      </c>
      <c r="B652">
        <v>36.19</v>
      </c>
      <c r="C652">
        <v>1576497</v>
      </c>
      <c r="D652" t="s">
        <v>137</v>
      </c>
      <c r="E652" t="s">
        <v>54</v>
      </c>
      <c r="F652" t="s">
        <v>54</v>
      </c>
      <c r="G652">
        <v>3</v>
      </c>
      <c r="H652" t="s">
        <v>171</v>
      </c>
      <c r="I652">
        <v>0</v>
      </c>
      <c r="J652">
        <v>217100</v>
      </c>
      <c r="K652">
        <v>36.19</v>
      </c>
      <c r="L652">
        <f>IF(Granger_Inventory[[#This Row],[parcel_acres]]-Granger_Inventory[[#This Row],[non_valued_acres]] =0,0,LN(Granger_Inventory[[#This Row],[parcel_acres]]-Granger_Inventory[[#This Row],[non_valued_acres]]))</f>
        <v>3.5887828375756512</v>
      </c>
      <c r="M652">
        <v>0</v>
      </c>
      <c r="N652">
        <v>0</v>
      </c>
      <c r="O652">
        <v>0</v>
      </c>
      <c r="P652">
        <v>47108.068500000001</v>
      </c>
      <c r="Q652">
        <v>122298</v>
      </c>
      <c r="R652">
        <f>(Granger_Inventory[[#This Row],[ln_acres]]*Granger_Inventory[[#This Row],[coeff]])+Granger_Inventory[[#This Row],[const]]</f>
        <v>291358.62774413812</v>
      </c>
      <c r="AY652">
        <v>0</v>
      </c>
      <c r="AZ652">
        <v>0</v>
      </c>
      <c r="BE652">
        <v>0</v>
      </c>
      <c r="BF652">
        <v>15000</v>
      </c>
      <c r="BG652">
        <v>0</v>
      </c>
      <c r="BH652" s="8">
        <f>Granger_Inventory[[#This Row],[land_extract]]*Lookups!$B$3</f>
        <v>173571.30839291759</v>
      </c>
      <c r="BI652" s="8">
        <f>IF(Granger_Inventory[[#This Row],[bldg_style]]="",0,Lookups!$B$2)</f>
        <v>0</v>
      </c>
      <c r="BJ652" s="8">
        <f>_xlfn.IFNA(VLOOKUP(Granger_Inventory[[#This Row],[quality]],Lookups!$H$2:$J$14,3,FALSE),0)</f>
        <v>0</v>
      </c>
      <c r="BK652" s="8">
        <f>_xlfn.IFNA(VLOOKUP(Granger_Inventory[[#This Row],[condition]],Lookups!$H$17:$J$24,3,FALSE),0)</f>
        <v>0</v>
      </c>
      <c r="BL652" s="8">
        <f>Granger_Inventory[[#This Row],[Age]]*Lookups!$B$16</f>
        <v>0</v>
      </c>
      <c r="BM652" s="8">
        <f>Granger_Inventory[[#This Row],[living_area]]*Lookups!$B$17</f>
        <v>0</v>
      </c>
      <c r="BN652" s="8">
        <f>(Granger_Inventory[[#This Row],[att_gar]]+Granger_Inventory[[#This Row],[blt_gar]])*Lookups!$B$18</f>
        <v>0</v>
      </c>
      <c r="BO652" s="8">
        <f>Granger_Inventory[[#This Row],[Patio]]*Lookups!$B$19</f>
        <v>0</v>
      </c>
      <c r="BP652" s="8">
        <f>SUM(Granger_Inventory[[#This Row],[Intercept]:[Patio_Value]])*Granger_Inventory[[#This Row],[res_pct]]</f>
        <v>0</v>
      </c>
      <c r="BQ652" s="8">
        <f>Granger_Inventory[[#This Row],[land_value]]</f>
        <v>173571.30839291759</v>
      </c>
      <c r="BR652" s="4">
        <f>_xlfn.IFNA(VLOOKUP(Granger_Inventory[[#This Row],[quality]],Lookups!$A$25:$C$35,3,FALSE),1)</f>
        <v>1</v>
      </c>
      <c r="BS652" s="4">
        <f>_xlfn.IFNA(VLOOKUP(Granger_Inventory[[#This Row],[condition]],Lookups!$A$38:$C$45,3,FALSE),1)</f>
        <v>1</v>
      </c>
      <c r="BT652" s="4">
        <f>IF(Granger_Inventory[[#This Row],[decade]]="",1,_xlfn.IFNA(VLOOKUP(Granger_Inventory[[#This Row],[decade]],Lookups!$G$28:$I$42,3,FALSE),1))</f>
        <v>1</v>
      </c>
      <c r="BU652" s="4">
        <f>_xlfn.IFNA(VLOOKUP(Granger_Inventory[[#This Row],[living_area_range]],Lookups!$A$48:$C$57,3,FALSE),1)</f>
        <v>1</v>
      </c>
      <c r="BV652" s="4">
        <f>AVERAGE(Granger_Inventory[[#This Row],[qual_adj]:[living_range_adj]])</f>
        <v>1</v>
      </c>
      <c r="BW652" s="8">
        <f>(Granger_Inventory[[#This Row],[sum_land]]-IF(Granger_Inventory[[#This Row],[no_utilities]]=1,12000,0))/IF(Granger_Inventory[[#This Row],[unbuildable]]=1,2,1)</f>
        <v>173571.30839291759</v>
      </c>
      <c r="BX652" s="8">
        <f>Granger_Inventory[[#This Row],[pre_res]]*Granger_Inventory[[#This Row],[overall_adj]]</f>
        <v>0</v>
      </c>
      <c r="BY652">
        <f>IF(ROUND(Granger_Inventory[[#This Row],[adj_land]]*Lookups!$I$45,-2)&lt;Granger_Inventory[[#This Row],[min_land]],Granger_Inventory[[#This Row],[min_land]],ROUND(Granger_Inventory[[#This Row],[adj_land]]*Lookups!$I$45,-2))</f>
        <v>164900</v>
      </c>
      <c r="BZ652">
        <f>ROUND(Granger_Inventory[[#This Row],[detatched_value]]*Lookups!$I$45,-2)</f>
        <v>0</v>
      </c>
      <c r="CA65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2">
        <f>Granger_Inventory[[#This Row],[final_det]]+Granger_Inventory[[#This Row],[final_res]]</f>
        <v>0</v>
      </c>
      <c r="CC652">
        <f>Granger_Inventory[[#This Row],[final_land]]+Granger_Inventory[[#This Row],[final_imp]]+Granger_Inventory[[#This Row],[crop_value]]</f>
        <v>164900</v>
      </c>
      <c r="CE652" t="str">
        <f t="shared" si="11"/>
        <v>update valuation set market_land =164900, market_bldg=0, market_total =164900, market_mdno =402, market_date ='9/10/2023' where link_id = (select link_id from parcel where parcel_year = '2024' and parcel_id = '21101631004');</v>
      </c>
    </row>
    <row r="653" spans="1:83" x14ac:dyDescent="0.25">
      <c r="A653">
        <v>21101632003</v>
      </c>
      <c r="B653">
        <v>3.75</v>
      </c>
      <c r="C653">
        <v>163323</v>
      </c>
      <c r="D653" t="s">
        <v>137</v>
      </c>
      <c r="E653" t="s">
        <v>54</v>
      </c>
      <c r="F653" t="s">
        <v>54</v>
      </c>
      <c r="G653">
        <v>3</v>
      </c>
      <c r="H653" t="s">
        <v>55</v>
      </c>
      <c r="I653">
        <v>0</v>
      </c>
      <c r="J653">
        <v>44500</v>
      </c>
      <c r="K653">
        <v>3.75</v>
      </c>
      <c r="L653">
        <f>IF(Granger_Inventory[[#This Row],[parcel_acres]]-Granger_Inventory[[#This Row],[non_valued_acres]] =0,0,LN(Granger_Inventory[[#This Row],[parcel_acres]]-Granger_Inventory[[#This Row],[non_valued_acres]]))</f>
        <v>1.3217558399823195</v>
      </c>
      <c r="M653">
        <v>0</v>
      </c>
      <c r="N653">
        <v>0</v>
      </c>
      <c r="O653">
        <v>0</v>
      </c>
      <c r="P653">
        <v>47108.068500000001</v>
      </c>
      <c r="Q653">
        <v>122298</v>
      </c>
      <c r="R653">
        <f>(Granger_Inventory[[#This Row],[ln_acres]]*Granger_Inventory[[#This Row],[coeff]])+Granger_Inventory[[#This Row],[const]]</f>
        <v>184563.36465016214</v>
      </c>
      <c r="AY653">
        <v>0</v>
      </c>
      <c r="AZ653">
        <v>0</v>
      </c>
      <c r="BE653">
        <v>0</v>
      </c>
      <c r="BF653">
        <v>15000</v>
      </c>
      <c r="BG653">
        <v>0</v>
      </c>
      <c r="BH653" s="8">
        <f>Granger_Inventory[[#This Row],[land_extract]]*Lookups!$B$3</f>
        <v>109950.08087373282</v>
      </c>
      <c r="BI653" s="8">
        <f>IF(Granger_Inventory[[#This Row],[bldg_style]]="",0,Lookups!$B$2)</f>
        <v>0</v>
      </c>
      <c r="BJ653" s="8">
        <f>_xlfn.IFNA(VLOOKUP(Granger_Inventory[[#This Row],[quality]],Lookups!$H$2:$J$14,3,FALSE),0)</f>
        <v>0</v>
      </c>
      <c r="BK653" s="8">
        <f>_xlfn.IFNA(VLOOKUP(Granger_Inventory[[#This Row],[condition]],Lookups!$H$17:$J$24,3,FALSE),0)</f>
        <v>0</v>
      </c>
      <c r="BL653" s="8">
        <f>Granger_Inventory[[#This Row],[Age]]*Lookups!$B$16</f>
        <v>0</v>
      </c>
      <c r="BM653" s="8">
        <f>Granger_Inventory[[#This Row],[living_area]]*Lookups!$B$17</f>
        <v>0</v>
      </c>
      <c r="BN653" s="8">
        <f>(Granger_Inventory[[#This Row],[att_gar]]+Granger_Inventory[[#This Row],[blt_gar]])*Lookups!$B$18</f>
        <v>0</v>
      </c>
      <c r="BO653" s="8">
        <f>Granger_Inventory[[#This Row],[Patio]]*Lookups!$B$19</f>
        <v>0</v>
      </c>
      <c r="BP653" s="8">
        <f>SUM(Granger_Inventory[[#This Row],[Intercept]:[Patio_Value]])*Granger_Inventory[[#This Row],[res_pct]]</f>
        <v>0</v>
      </c>
      <c r="BQ653" s="8">
        <f>Granger_Inventory[[#This Row],[land_value]]</f>
        <v>109950.08087373282</v>
      </c>
      <c r="BR653" s="4">
        <f>_xlfn.IFNA(VLOOKUP(Granger_Inventory[[#This Row],[quality]],Lookups!$A$25:$C$35,3,FALSE),1)</f>
        <v>1</v>
      </c>
      <c r="BS653" s="4">
        <f>_xlfn.IFNA(VLOOKUP(Granger_Inventory[[#This Row],[condition]],Lookups!$A$38:$C$45,3,FALSE),1)</f>
        <v>1</v>
      </c>
      <c r="BT653" s="4">
        <f>IF(Granger_Inventory[[#This Row],[decade]]="",1,_xlfn.IFNA(VLOOKUP(Granger_Inventory[[#This Row],[decade]],Lookups!$G$28:$I$42,3,FALSE),1))</f>
        <v>1</v>
      </c>
      <c r="BU653" s="4">
        <f>_xlfn.IFNA(VLOOKUP(Granger_Inventory[[#This Row],[living_area_range]],Lookups!$A$48:$C$57,3,FALSE),1)</f>
        <v>1</v>
      </c>
      <c r="BV653" s="4">
        <f>AVERAGE(Granger_Inventory[[#This Row],[qual_adj]:[living_range_adj]])</f>
        <v>1</v>
      </c>
      <c r="BW653" s="8">
        <f>(Granger_Inventory[[#This Row],[sum_land]]-IF(Granger_Inventory[[#This Row],[no_utilities]]=1,12000,0))/IF(Granger_Inventory[[#This Row],[unbuildable]]=1,2,1)</f>
        <v>109950.08087373282</v>
      </c>
      <c r="BX653" s="8">
        <f>Granger_Inventory[[#This Row],[pre_res]]*Granger_Inventory[[#This Row],[overall_adj]]</f>
        <v>0</v>
      </c>
      <c r="BY653">
        <f>IF(ROUND(Granger_Inventory[[#This Row],[adj_land]]*Lookups!$I$45,-2)&lt;Granger_Inventory[[#This Row],[min_land]],Granger_Inventory[[#This Row],[min_land]],ROUND(Granger_Inventory[[#This Row],[adj_land]]*Lookups!$I$45,-2))</f>
        <v>104500</v>
      </c>
      <c r="BZ653">
        <f>ROUND(Granger_Inventory[[#This Row],[detatched_value]]*Lookups!$I$45,-2)</f>
        <v>0</v>
      </c>
      <c r="CA65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3">
        <f>Granger_Inventory[[#This Row],[final_det]]+Granger_Inventory[[#This Row],[final_res]]</f>
        <v>0</v>
      </c>
      <c r="CC653">
        <f>Granger_Inventory[[#This Row],[final_land]]+Granger_Inventory[[#This Row],[final_imp]]+Granger_Inventory[[#This Row],[crop_value]]</f>
        <v>104500</v>
      </c>
      <c r="CE653" t="str">
        <f t="shared" si="11"/>
        <v>update valuation set market_land =104500, market_bldg=0, market_total =104500, market_mdno =402, market_date ='9/10/2023' where link_id = (select link_id from parcel where parcel_year = '2024' and parcel_id = '21101632003');</v>
      </c>
    </row>
    <row r="654" spans="1:83" x14ac:dyDescent="0.25">
      <c r="A654">
        <v>21101633412</v>
      </c>
      <c r="B654">
        <v>1.99</v>
      </c>
      <c r="C654">
        <v>86743</v>
      </c>
      <c r="D654" t="s">
        <v>137</v>
      </c>
      <c r="E654" t="s">
        <v>54</v>
      </c>
      <c r="F654" t="s">
        <v>54</v>
      </c>
      <c r="G654">
        <v>3</v>
      </c>
      <c r="H654" t="s">
        <v>55</v>
      </c>
      <c r="I654">
        <v>0</v>
      </c>
      <c r="J654">
        <v>40800</v>
      </c>
      <c r="K654">
        <v>1.99</v>
      </c>
      <c r="L654">
        <f>IF(Granger_Inventory[[#This Row],[parcel_acres]]-Granger_Inventory[[#This Row],[non_valued_acres]] =0,0,LN(Granger_Inventory[[#This Row],[parcel_acres]]-Granger_Inventory[[#This Row],[non_valued_acres]]))</f>
        <v>0.68813463873640102</v>
      </c>
      <c r="M654">
        <v>0</v>
      </c>
      <c r="N654">
        <v>0</v>
      </c>
      <c r="O654">
        <v>0</v>
      </c>
      <c r="P654">
        <v>47108.068500000001</v>
      </c>
      <c r="Q654">
        <v>122298</v>
      </c>
      <c r="R654">
        <f>(Granger_Inventory[[#This Row],[ln_acres]]*Granger_Inventory[[#This Row],[coeff]])+Granger_Inventory[[#This Row],[const]]</f>
        <v>154714.69369881714</v>
      </c>
      <c r="AY654">
        <v>0</v>
      </c>
      <c r="AZ654">
        <v>0</v>
      </c>
      <c r="BE654">
        <v>0</v>
      </c>
      <c r="BF654">
        <v>15000</v>
      </c>
      <c r="BG654">
        <v>0</v>
      </c>
      <c r="BH654" s="8">
        <f>Granger_Inventory[[#This Row],[land_extract]]*Lookups!$B$3</f>
        <v>92168.308248951289</v>
      </c>
      <c r="BI654" s="8">
        <f>IF(Granger_Inventory[[#This Row],[bldg_style]]="",0,Lookups!$B$2)</f>
        <v>0</v>
      </c>
      <c r="BJ654" s="8">
        <f>_xlfn.IFNA(VLOOKUP(Granger_Inventory[[#This Row],[quality]],Lookups!$H$2:$J$14,3,FALSE),0)</f>
        <v>0</v>
      </c>
      <c r="BK654" s="8">
        <f>_xlfn.IFNA(VLOOKUP(Granger_Inventory[[#This Row],[condition]],Lookups!$H$17:$J$24,3,FALSE),0)</f>
        <v>0</v>
      </c>
      <c r="BL654" s="8">
        <f>Granger_Inventory[[#This Row],[Age]]*Lookups!$B$16</f>
        <v>0</v>
      </c>
      <c r="BM654" s="8">
        <f>Granger_Inventory[[#This Row],[living_area]]*Lookups!$B$17</f>
        <v>0</v>
      </c>
      <c r="BN654" s="8">
        <f>(Granger_Inventory[[#This Row],[att_gar]]+Granger_Inventory[[#This Row],[blt_gar]])*Lookups!$B$18</f>
        <v>0</v>
      </c>
      <c r="BO654" s="8">
        <f>Granger_Inventory[[#This Row],[Patio]]*Lookups!$B$19</f>
        <v>0</v>
      </c>
      <c r="BP654" s="8">
        <f>SUM(Granger_Inventory[[#This Row],[Intercept]:[Patio_Value]])*Granger_Inventory[[#This Row],[res_pct]]</f>
        <v>0</v>
      </c>
      <c r="BQ654" s="8">
        <f>Granger_Inventory[[#This Row],[land_value]]</f>
        <v>92168.308248951289</v>
      </c>
      <c r="BR654" s="4">
        <f>_xlfn.IFNA(VLOOKUP(Granger_Inventory[[#This Row],[quality]],Lookups!$A$25:$C$35,3,FALSE),1)</f>
        <v>1</v>
      </c>
      <c r="BS654" s="4">
        <f>_xlfn.IFNA(VLOOKUP(Granger_Inventory[[#This Row],[condition]],Lookups!$A$38:$C$45,3,FALSE),1)</f>
        <v>1</v>
      </c>
      <c r="BT654" s="4">
        <f>IF(Granger_Inventory[[#This Row],[decade]]="",1,_xlfn.IFNA(VLOOKUP(Granger_Inventory[[#This Row],[decade]],Lookups!$G$28:$I$42,3,FALSE),1))</f>
        <v>1</v>
      </c>
      <c r="BU654" s="4">
        <f>_xlfn.IFNA(VLOOKUP(Granger_Inventory[[#This Row],[living_area_range]],Lookups!$A$48:$C$57,3,FALSE),1)</f>
        <v>1</v>
      </c>
      <c r="BV654" s="4">
        <f>AVERAGE(Granger_Inventory[[#This Row],[qual_adj]:[living_range_adj]])</f>
        <v>1</v>
      </c>
      <c r="BW654" s="8">
        <f>(Granger_Inventory[[#This Row],[sum_land]]-IF(Granger_Inventory[[#This Row],[no_utilities]]=1,12000,0))/IF(Granger_Inventory[[#This Row],[unbuildable]]=1,2,1)</f>
        <v>92168.308248951289</v>
      </c>
      <c r="BX654" s="8">
        <f>Granger_Inventory[[#This Row],[pre_res]]*Granger_Inventory[[#This Row],[overall_adj]]</f>
        <v>0</v>
      </c>
      <c r="BY654">
        <f>IF(ROUND(Granger_Inventory[[#This Row],[adj_land]]*Lookups!$I$45,-2)&lt;Granger_Inventory[[#This Row],[min_land]],Granger_Inventory[[#This Row],[min_land]],ROUND(Granger_Inventory[[#This Row],[adj_land]]*Lookups!$I$45,-2))</f>
        <v>87600</v>
      </c>
      <c r="BZ654">
        <f>ROUND(Granger_Inventory[[#This Row],[detatched_value]]*Lookups!$I$45,-2)</f>
        <v>0</v>
      </c>
      <c r="CA65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4">
        <f>Granger_Inventory[[#This Row],[final_det]]+Granger_Inventory[[#This Row],[final_res]]</f>
        <v>0</v>
      </c>
      <c r="CC654">
        <f>Granger_Inventory[[#This Row],[final_land]]+Granger_Inventory[[#This Row],[final_imp]]+Granger_Inventory[[#This Row],[crop_value]]</f>
        <v>87600</v>
      </c>
      <c r="CE654" t="str">
        <f t="shared" si="11"/>
        <v>update valuation set market_land =87600, market_bldg=0, market_total =87600, market_mdno =402, market_date ='9/10/2023' where link_id = (select link_id from parcel where parcel_year = '2024' and parcel_id = '21101633412');</v>
      </c>
    </row>
    <row r="655" spans="1:83" x14ac:dyDescent="0.25">
      <c r="A655">
        <v>21101633413</v>
      </c>
      <c r="B655">
        <v>1.25</v>
      </c>
      <c r="C655">
        <v>54667</v>
      </c>
      <c r="D655" t="s">
        <v>137</v>
      </c>
      <c r="E655" t="s">
        <v>54</v>
      </c>
      <c r="F655" t="s">
        <v>54</v>
      </c>
      <c r="G655">
        <v>3</v>
      </c>
      <c r="H655" t="s">
        <v>55</v>
      </c>
      <c r="I655">
        <v>0</v>
      </c>
      <c r="J655">
        <v>38100</v>
      </c>
      <c r="K655">
        <v>1.25</v>
      </c>
      <c r="L655">
        <f>IF(Granger_Inventory[[#This Row],[parcel_acres]]-Granger_Inventory[[#This Row],[non_valued_acres]] =0,0,LN(Granger_Inventory[[#This Row],[parcel_acres]]-Granger_Inventory[[#This Row],[non_valued_acres]]))</f>
        <v>0.22314355131420976</v>
      </c>
      <c r="M655">
        <v>0</v>
      </c>
      <c r="N655">
        <v>0</v>
      </c>
      <c r="O655">
        <v>0</v>
      </c>
      <c r="P655">
        <v>47108.068500000001</v>
      </c>
      <c r="Q655">
        <v>122298</v>
      </c>
      <c r="R655">
        <f>(Granger_Inventory[[#This Row],[ln_acres]]*Granger_Inventory[[#This Row],[coeff]])+Granger_Inventory[[#This Row],[const]]</f>
        <v>132809.86170064306</v>
      </c>
      <c r="AY655">
        <v>0</v>
      </c>
      <c r="AZ655">
        <v>0</v>
      </c>
      <c r="BE655">
        <v>0</v>
      </c>
      <c r="BF655">
        <v>15000</v>
      </c>
      <c r="BG655">
        <v>0</v>
      </c>
      <c r="BH655" s="8">
        <f>Granger_Inventory[[#This Row],[land_extract]]*Lookups!$B$3</f>
        <v>79118.92515881345</v>
      </c>
      <c r="BI655" s="8">
        <f>IF(Granger_Inventory[[#This Row],[bldg_style]]="",0,Lookups!$B$2)</f>
        <v>0</v>
      </c>
      <c r="BJ655" s="8">
        <f>_xlfn.IFNA(VLOOKUP(Granger_Inventory[[#This Row],[quality]],Lookups!$H$2:$J$14,3,FALSE),0)</f>
        <v>0</v>
      </c>
      <c r="BK655" s="8">
        <f>_xlfn.IFNA(VLOOKUP(Granger_Inventory[[#This Row],[condition]],Lookups!$H$17:$J$24,3,FALSE),0)</f>
        <v>0</v>
      </c>
      <c r="BL655" s="8">
        <f>Granger_Inventory[[#This Row],[Age]]*Lookups!$B$16</f>
        <v>0</v>
      </c>
      <c r="BM655" s="8">
        <f>Granger_Inventory[[#This Row],[living_area]]*Lookups!$B$17</f>
        <v>0</v>
      </c>
      <c r="BN655" s="8">
        <f>(Granger_Inventory[[#This Row],[att_gar]]+Granger_Inventory[[#This Row],[blt_gar]])*Lookups!$B$18</f>
        <v>0</v>
      </c>
      <c r="BO655" s="8">
        <f>Granger_Inventory[[#This Row],[Patio]]*Lookups!$B$19</f>
        <v>0</v>
      </c>
      <c r="BP655" s="8">
        <f>SUM(Granger_Inventory[[#This Row],[Intercept]:[Patio_Value]])*Granger_Inventory[[#This Row],[res_pct]]</f>
        <v>0</v>
      </c>
      <c r="BQ655" s="8">
        <f>Granger_Inventory[[#This Row],[land_value]]</f>
        <v>79118.92515881345</v>
      </c>
      <c r="BR655" s="4">
        <f>_xlfn.IFNA(VLOOKUP(Granger_Inventory[[#This Row],[quality]],Lookups!$A$25:$C$35,3,FALSE),1)</f>
        <v>1</v>
      </c>
      <c r="BS655" s="4">
        <f>_xlfn.IFNA(VLOOKUP(Granger_Inventory[[#This Row],[condition]],Lookups!$A$38:$C$45,3,FALSE),1)</f>
        <v>1</v>
      </c>
      <c r="BT655" s="4">
        <f>IF(Granger_Inventory[[#This Row],[decade]]="",1,_xlfn.IFNA(VLOOKUP(Granger_Inventory[[#This Row],[decade]],Lookups!$G$28:$I$42,3,FALSE),1))</f>
        <v>1</v>
      </c>
      <c r="BU655" s="4">
        <f>_xlfn.IFNA(VLOOKUP(Granger_Inventory[[#This Row],[living_area_range]],Lookups!$A$48:$C$57,3,FALSE),1)</f>
        <v>1</v>
      </c>
      <c r="BV655" s="4">
        <f>AVERAGE(Granger_Inventory[[#This Row],[qual_adj]:[living_range_adj]])</f>
        <v>1</v>
      </c>
      <c r="BW655" s="8">
        <f>(Granger_Inventory[[#This Row],[sum_land]]-IF(Granger_Inventory[[#This Row],[no_utilities]]=1,12000,0))/IF(Granger_Inventory[[#This Row],[unbuildable]]=1,2,1)</f>
        <v>79118.92515881345</v>
      </c>
      <c r="BX655" s="8">
        <f>Granger_Inventory[[#This Row],[pre_res]]*Granger_Inventory[[#This Row],[overall_adj]]</f>
        <v>0</v>
      </c>
      <c r="BY655">
        <f>IF(ROUND(Granger_Inventory[[#This Row],[adj_land]]*Lookups!$I$45,-2)&lt;Granger_Inventory[[#This Row],[min_land]],Granger_Inventory[[#This Row],[min_land]],ROUND(Granger_Inventory[[#This Row],[adj_land]]*Lookups!$I$45,-2))</f>
        <v>75200</v>
      </c>
      <c r="BZ655">
        <f>ROUND(Granger_Inventory[[#This Row],[detatched_value]]*Lookups!$I$45,-2)</f>
        <v>0</v>
      </c>
      <c r="CA65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5">
        <f>Granger_Inventory[[#This Row],[final_det]]+Granger_Inventory[[#This Row],[final_res]]</f>
        <v>0</v>
      </c>
      <c r="CC655">
        <f>Granger_Inventory[[#This Row],[final_land]]+Granger_Inventory[[#This Row],[final_imp]]+Granger_Inventory[[#This Row],[crop_value]]</f>
        <v>75200</v>
      </c>
      <c r="CE655" t="str">
        <f t="shared" si="11"/>
        <v>update valuation set market_land =75200, market_bldg=0, market_total =75200, market_mdno =402, market_date ='9/10/2023' where link_id = (select link_id from parcel where parcel_year = '2024' and parcel_id = '21101633413');</v>
      </c>
    </row>
    <row r="656" spans="1:83" x14ac:dyDescent="0.25">
      <c r="A656">
        <v>21101633414</v>
      </c>
      <c r="B656">
        <v>0.85</v>
      </c>
      <c r="C656">
        <v>37101</v>
      </c>
      <c r="D656" t="s">
        <v>137</v>
      </c>
      <c r="E656" t="s">
        <v>54</v>
      </c>
      <c r="F656" t="s">
        <v>54</v>
      </c>
      <c r="G656">
        <v>3</v>
      </c>
      <c r="H656" t="s">
        <v>55</v>
      </c>
      <c r="I656">
        <v>0</v>
      </c>
      <c r="J656">
        <v>35900</v>
      </c>
      <c r="K656">
        <v>0.85</v>
      </c>
      <c r="L656">
        <f>IF(Granger_Inventory[[#This Row],[parcel_acres]]-Granger_Inventory[[#This Row],[non_valued_acres]] =0,0,LN(Granger_Inventory[[#This Row],[parcel_acres]]-Granger_Inventory[[#This Row],[non_valued_acres]]))</f>
        <v>-0.16251892949777494</v>
      </c>
      <c r="M656">
        <v>0</v>
      </c>
      <c r="N656">
        <v>0</v>
      </c>
      <c r="O656">
        <v>0</v>
      </c>
      <c r="P656">
        <v>47108.068500000001</v>
      </c>
      <c r="Q656">
        <v>122298</v>
      </c>
      <c r="R656">
        <f>(Granger_Inventory[[#This Row],[ln_acres]]*Granger_Inventory[[#This Row],[coeff]])+Granger_Inventory[[#This Row],[const]]</f>
        <v>114642.04713667215</v>
      </c>
      <c r="AY656">
        <v>0</v>
      </c>
      <c r="AZ656">
        <v>0</v>
      </c>
      <c r="BE656">
        <v>0</v>
      </c>
      <c r="BF656">
        <v>15000</v>
      </c>
      <c r="BG656">
        <v>0</v>
      </c>
      <c r="BH656" s="8">
        <f>Granger_Inventory[[#This Row],[land_extract]]*Lookups!$B$3</f>
        <v>68295.79845436741</v>
      </c>
      <c r="BI656" s="8">
        <f>IF(Granger_Inventory[[#This Row],[bldg_style]]="",0,Lookups!$B$2)</f>
        <v>0</v>
      </c>
      <c r="BJ656" s="8">
        <f>_xlfn.IFNA(VLOOKUP(Granger_Inventory[[#This Row],[quality]],Lookups!$H$2:$J$14,3,FALSE),0)</f>
        <v>0</v>
      </c>
      <c r="BK656" s="8">
        <f>_xlfn.IFNA(VLOOKUP(Granger_Inventory[[#This Row],[condition]],Lookups!$H$17:$J$24,3,FALSE),0)</f>
        <v>0</v>
      </c>
      <c r="BL656" s="8">
        <f>Granger_Inventory[[#This Row],[Age]]*Lookups!$B$16</f>
        <v>0</v>
      </c>
      <c r="BM656" s="8">
        <f>Granger_Inventory[[#This Row],[living_area]]*Lookups!$B$17</f>
        <v>0</v>
      </c>
      <c r="BN656" s="8">
        <f>(Granger_Inventory[[#This Row],[att_gar]]+Granger_Inventory[[#This Row],[blt_gar]])*Lookups!$B$18</f>
        <v>0</v>
      </c>
      <c r="BO656" s="8">
        <f>Granger_Inventory[[#This Row],[Patio]]*Lookups!$B$19</f>
        <v>0</v>
      </c>
      <c r="BP656" s="8">
        <f>SUM(Granger_Inventory[[#This Row],[Intercept]:[Patio_Value]])*Granger_Inventory[[#This Row],[res_pct]]</f>
        <v>0</v>
      </c>
      <c r="BQ656" s="8">
        <f>Granger_Inventory[[#This Row],[land_value]]</f>
        <v>68295.79845436741</v>
      </c>
      <c r="BR656" s="4">
        <f>_xlfn.IFNA(VLOOKUP(Granger_Inventory[[#This Row],[quality]],Lookups!$A$25:$C$35,3,FALSE),1)</f>
        <v>1</v>
      </c>
      <c r="BS656" s="4">
        <f>_xlfn.IFNA(VLOOKUP(Granger_Inventory[[#This Row],[condition]],Lookups!$A$38:$C$45,3,FALSE),1)</f>
        <v>1</v>
      </c>
      <c r="BT656" s="4">
        <f>IF(Granger_Inventory[[#This Row],[decade]]="",1,_xlfn.IFNA(VLOOKUP(Granger_Inventory[[#This Row],[decade]],Lookups!$G$28:$I$42,3,FALSE),1))</f>
        <v>1</v>
      </c>
      <c r="BU656" s="4">
        <f>_xlfn.IFNA(VLOOKUP(Granger_Inventory[[#This Row],[living_area_range]],Lookups!$A$48:$C$57,3,FALSE),1)</f>
        <v>1</v>
      </c>
      <c r="BV656" s="4">
        <f>AVERAGE(Granger_Inventory[[#This Row],[qual_adj]:[living_range_adj]])</f>
        <v>1</v>
      </c>
      <c r="BW656" s="8">
        <f>(Granger_Inventory[[#This Row],[sum_land]]-IF(Granger_Inventory[[#This Row],[no_utilities]]=1,12000,0))/IF(Granger_Inventory[[#This Row],[unbuildable]]=1,2,1)</f>
        <v>68295.79845436741</v>
      </c>
      <c r="BX656" s="8">
        <f>Granger_Inventory[[#This Row],[pre_res]]*Granger_Inventory[[#This Row],[overall_adj]]</f>
        <v>0</v>
      </c>
      <c r="BY656">
        <f>IF(ROUND(Granger_Inventory[[#This Row],[adj_land]]*Lookups!$I$45,-2)&lt;Granger_Inventory[[#This Row],[min_land]],Granger_Inventory[[#This Row],[min_land]],ROUND(Granger_Inventory[[#This Row],[adj_land]]*Lookups!$I$45,-2))</f>
        <v>64900</v>
      </c>
      <c r="BZ656">
        <f>ROUND(Granger_Inventory[[#This Row],[detatched_value]]*Lookups!$I$45,-2)</f>
        <v>0</v>
      </c>
      <c r="CA65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6">
        <f>Granger_Inventory[[#This Row],[final_det]]+Granger_Inventory[[#This Row],[final_res]]</f>
        <v>0</v>
      </c>
      <c r="CC656">
        <f>Granger_Inventory[[#This Row],[final_land]]+Granger_Inventory[[#This Row],[final_imp]]+Granger_Inventory[[#This Row],[crop_value]]</f>
        <v>64900</v>
      </c>
      <c r="CE656" t="str">
        <f t="shared" si="11"/>
        <v>update valuation set market_land =64900, market_bldg=0, market_total =64900, market_mdno =402, market_date ='9/10/2023' where link_id = (select link_id from parcel where parcel_year = '2024' and parcel_id = '21101633414');</v>
      </c>
    </row>
    <row r="657" spans="1:83" x14ac:dyDescent="0.25">
      <c r="A657">
        <v>21101634419</v>
      </c>
      <c r="B657">
        <v>2.57</v>
      </c>
      <c r="C657">
        <v>111821</v>
      </c>
      <c r="D657" t="s">
        <v>137</v>
      </c>
      <c r="E657" t="s">
        <v>54</v>
      </c>
      <c r="F657" t="s">
        <v>54</v>
      </c>
      <c r="G657">
        <v>3</v>
      </c>
      <c r="H657" t="s">
        <v>55</v>
      </c>
      <c r="I657">
        <v>26400</v>
      </c>
      <c r="J657">
        <v>42300</v>
      </c>
      <c r="K657">
        <v>2.57</v>
      </c>
      <c r="L657">
        <f>IF(Granger_Inventory[[#This Row],[parcel_acres]]-Granger_Inventory[[#This Row],[non_valued_acres]] =0,0,LN(Granger_Inventory[[#This Row],[parcel_acres]]-Granger_Inventory[[#This Row],[non_valued_acres]]))</f>
        <v>0.94390589890712839</v>
      </c>
      <c r="M657">
        <v>0</v>
      </c>
      <c r="N657">
        <v>0</v>
      </c>
      <c r="O657">
        <v>0</v>
      </c>
      <c r="P657">
        <v>47108.068500000001</v>
      </c>
      <c r="Q657">
        <v>122298</v>
      </c>
      <c r="R657">
        <f>(Granger_Inventory[[#This Row],[ln_acres]]*Granger_Inventory[[#This Row],[coeff]])+Granger_Inventory[[#This Row],[const]]</f>
        <v>166763.58374327107</v>
      </c>
      <c r="AY657">
        <v>0</v>
      </c>
      <c r="AZ657">
        <v>27000</v>
      </c>
      <c r="BE657">
        <v>0</v>
      </c>
      <c r="BF657">
        <v>15000</v>
      </c>
      <c r="BG657">
        <v>0</v>
      </c>
      <c r="BH657" s="8">
        <f>Granger_Inventory[[#This Row],[land_extract]]*Lookups!$B$3</f>
        <v>99346.203154245872</v>
      </c>
      <c r="BI657" s="8">
        <f>IF(Granger_Inventory[[#This Row],[bldg_style]]="",0,Lookups!$B$2)</f>
        <v>0</v>
      </c>
      <c r="BJ657" s="8">
        <f>_xlfn.IFNA(VLOOKUP(Granger_Inventory[[#This Row],[quality]],Lookups!$H$2:$J$14,3,FALSE),0)</f>
        <v>0</v>
      </c>
      <c r="BK657" s="8">
        <f>_xlfn.IFNA(VLOOKUP(Granger_Inventory[[#This Row],[condition]],Lookups!$H$17:$J$24,3,FALSE),0)</f>
        <v>0</v>
      </c>
      <c r="BL657" s="8">
        <f>Granger_Inventory[[#This Row],[Age]]*Lookups!$B$16</f>
        <v>0</v>
      </c>
      <c r="BM657" s="8">
        <f>Granger_Inventory[[#This Row],[living_area]]*Lookups!$B$17</f>
        <v>0</v>
      </c>
      <c r="BN657" s="8">
        <f>(Granger_Inventory[[#This Row],[att_gar]]+Granger_Inventory[[#This Row],[blt_gar]])*Lookups!$B$18</f>
        <v>0</v>
      </c>
      <c r="BO657" s="8">
        <f>Granger_Inventory[[#This Row],[Patio]]*Lookups!$B$19</f>
        <v>0</v>
      </c>
      <c r="BP657" s="8">
        <f>SUM(Granger_Inventory[[#This Row],[Intercept]:[Patio_Value]])*Granger_Inventory[[#This Row],[res_pct]]</f>
        <v>0</v>
      </c>
      <c r="BQ657" s="8">
        <f>Granger_Inventory[[#This Row],[land_value]]</f>
        <v>99346.203154245872</v>
      </c>
      <c r="BR657" s="4">
        <f>_xlfn.IFNA(VLOOKUP(Granger_Inventory[[#This Row],[quality]],Lookups!$A$25:$C$35,3,FALSE),1)</f>
        <v>1</v>
      </c>
      <c r="BS657" s="4">
        <f>_xlfn.IFNA(VLOOKUP(Granger_Inventory[[#This Row],[condition]],Lookups!$A$38:$C$45,3,FALSE),1)</f>
        <v>1</v>
      </c>
      <c r="BT657" s="4">
        <f>IF(Granger_Inventory[[#This Row],[decade]]="",1,_xlfn.IFNA(VLOOKUP(Granger_Inventory[[#This Row],[decade]],Lookups!$G$28:$I$42,3,FALSE),1))</f>
        <v>1</v>
      </c>
      <c r="BU657" s="4">
        <f>_xlfn.IFNA(VLOOKUP(Granger_Inventory[[#This Row],[living_area_range]],Lookups!$A$48:$C$57,3,FALSE),1)</f>
        <v>1</v>
      </c>
      <c r="BV657" s="4">
        <f>AVERAGE(Granger_Inventory[[#This Row],[qual_adj]:[living_range_adj]])</f>
        <v>1</v>
      </c>
      <c r="BW657" s="8">
        <f>(Granger_Inventory[[#This Row],[sum_land]]-IF(Granger_Inventory[[#This Row],[no_utilities]]=1,12000,0))/IF(Granger_Inventory[[#This Row],[unbuildable]]=1,2,1)</f>
        <v>99346.203154245872</v>
      </c>
      <c r="BX657" s="8">
        <f>Granger_Inventory[[#This Row],[pre_res]]*Granger_Inventory[[#This Row],[overall_adj]]</f>
        <v>0</v>
      </c>
      <c r="BY657">
        <f>IF(ROUND(Granger_Inventory[[#This Row],[adj_land]]*Lookups!$I$45,-2)&lt;Granger_Inventory[[#This Row],[min_land]],Granger_Inventory[[#This Row],[min_land]],ROUND(Granger_Inventory[[#This Row],[adj_land]]*Lookups!$I$45,-2))</f>
        <v>94400</v>
      </c>
      <c r="BZ657">
        <f>ROUND(Granger_Inventory[[#This Row],[detatched_value]]*Lookups!$I$45,-2)</f>
        <v>25700</v>
      </c>
      <c r="CA65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7">
        <f>Granger_Inventory[[#This Row],[final_det]]+Granger_Inventory[[#This Row],[final_res]]</f>
        <v>25700</v>
      </c>
      <c r="CC657">
        <f>Granger_Inventory[[#This Row],[final_land]]+Granger_Inventory[[#This Row],[final_imp]]+Granger_Inventory[[#This Row],[crop_value]]</f>
        <v>120100</v>
      </c>
      <c r="CE657" t="str">
        <f t="shared" si="11"/>
        <v>update valuation set market_land =94400, market_bldg=25700, market_total =120100, market_mdno =402, market_date ='9/10/2023' where link_id = (select link_id from parcel where parcel_year = '2024' and parcel_id = '21101634419');</v>
      </c>
    </row>
    <row r="658" spans="1:83" x14ac:dyDescent="0.25">
      <c r="A658">
        <v>21101634438</v>
      </c>
      <c r="B658">
        <v>6.28</v>
      </c>
      <c r="C658">
        <v>273355</v>
      </c>
      <c r="D658">
        <v>6.28</v>
      </c>
      <c r="E658" t="s">
        <v>54</v>
      </c>
      <c r="F658" t="s">
        <v>54</v>
      </c>
      <c r="G658">
        <v>3</v>
      </c>
      <c r="H658" t="s">
        <v>55</v>
      </c>
      <c r="I658">
        <v>0</v>
      </c>
      <c r="J658">
        <v>47500</v>
      </c>
      <c r="K658">
        <v>6.28</v>
      </c>
      <c r="L658">
        <f>IF(Granger_Inventory[[#This Row],[parcel_acres]]-Granger_Inventory[[#This Row],[non_valued_acres]] =0,0,LN(Granger_Inventory[[#This Row],[parcel_acres]]-Granger_Inventory[[#This Row],[non_valued_acres]]))</f>
        <v>1.8373699804801074</v>
      </c>
      <c r="M658">
        <v>0</v>
      </c>
      <c r="N658">
        <v>0</v>
      </c>
      <c r="O658">
        <v>0</v>
      </c>
      <c r="P658">
        <v>47108.068500000001</v>
      </c>
      <c r="Q658">
        <v>122298</v>
      </c>
      <c r="R658">
        <f>(Granger_Inventory[[#This Row],[ln_acres]]*Granger_Inventory[[#This Row],[coeff]])+Granger_Inventory[[#This Row],[const]]</f>
        <v>208852.95090030058</v>
      </c>
      <c r="AY658">
        <v>0</v>
      </c>
      <c r="AZ658">
        <v>0</v>
      </c>
      <c r="BE658">
        <v>0</v>
      </c>
      <c r="BF658">
        <v>15000</v>
      </c>
      <c r="BG658">
        <v>0</v>
      </c>
      <c r="BH658" s="8">
        <f>Granger_Inventory[[#This Row],[land_extract]]*Lookups!$B$3</f>
        <v>124420.13552219678</v>
      </c>
      <c r="BI658" s="8">
        <f>IF(Granger_Inventory[[#This Row],[bldg_style]]="",0,Lookups!$B$2)</f>
        <v>0</v>
      </c>
      <c r="BJ658" s="8">
        <f>_xlfn.IFNA(VLOOKUP(Granger_Inventory[[#This Row],[quality]],Lookups!$H$2:$J$14,3,FALSE),0)</f>
        <v>0</v>
      </c>
      <c r="BK658" s="8">
        <f>_xlfn.IFNA(VLOOKUP(Granger_Inventory[[#This Row],[condition]],Lookups!$H$17:$J$24,3,FALSE),0)</f>
        <v>0</v>
      </c>
      <c r="BL658" s="8">
        <f>Granger_Inventory[[#This Row],[Age]]*Lookups!$B$16</f>
        <v>0</v>
      </c>
      <c r="BM658" s="8">
        <f>Granger_Inventory[[#This Row],[living_area]]*Lookups!$B$17</f>
        <v>0</v>
      </c>
      <c r="BN658" s="8">
        <f>(Granger_Inventory[[#This Row],[att_gar]]+Granger_Inventory[[#This Row],[blt_gar]])*Lookups!$B$18</f>
        <v>0</v>
      </c>
      <c r="BO658" s="8">
        <f>Granger_Inventory[[#This Row],[Patio]]*Lookups!$B$19</f>
        <v>0</v>
      </c>
      <c r="BP658" s="8">
        <f>SUM(Granger_Inventory[[#This Row],[Intercept]:[Patio_Value]])*Granger_Inventory[[#This Row],[res_pct]]</f>
        <v>0</v>
      </c>
      <c r="BQ658" s="8">
        <f>Granger_Inventory[[#This Row],[land_value]]</f>
        <v>124420.13552219678</v>
      </c>
      <c r="BR658" s="4">
        <f>_xlfn.IFNA(VLOOKUP(Granger_Inventory[[#This Row],[quality]],Lookups!$A$25:$C$35,3,FALSE),1)</f>
        <v>1</v>
      </c>
      <c r="BS658" s="4">
        <f>_xlfn.IFNA(VLOOKUP(Granger_Inventory[[#This Row],[condition]],Lookups!$A$38:$C$45,3,FALSE),1)</f>
        <v>1</v>
      </c>
      <c r="BT658" s="4">
        <f>IF(Granger_Inventory[[#This Row],[decade]]="",1,_xlfn.IFNA(VLOOKUP(Granger_Inventory[[#This Row],[decade]],Lookups!$G$28:$I$42,3,FALSE),1))</f>
        <v>1</v>
      </c>
      <c r="BU658" s="4">
        <f>_xlfn.IFNA(VLOOKUP(Granger_Inventory[[#This Row],[living_area_range]],Lookups!$A$48:$C$57,3,FALSE),1)</f>
        <v>1</v>
      </c>
      <c r="BV658" s="4">
        <f>AVERAGE(Granger_Inventory[[#This Row],[qual_adj]:[living_range_adj]])</f>
        <v>1</v>
      </c>
      <c r="BW658" s="8">
        <f>(Granger_Inventory[[#This Row],[sum_land]]-IF(Granger_Inventory[[#This Row],[no_utilities]]=1,12000,0))/IF(Granger_Inventory[[#This Row],[unbuildable]]=1,2,1)</f>
        <v>124420.13552219678</v>
      </c>
      <c r="BX658" s="8">
        <f>Granger_Inventory[[#This Row],[pre_res]]*Granger_Inventory[[#This Row],[overall_adj]]</f>
        <v>0</v>
      </c>
      <c r="BY658">
        <f>IF(ROUND(Granger_Inventory[[#This Row],[adj_land]]*Lookups!$I$45,-2)&lt;Granger_Inventory[[#This Row],[min_land]],Granger_Inventory[[#This Row],[min_land]],ROUND(Granger_Inventory[[#This Row],[adj_land]]*Lookups!$I$45,-2))</f>
        <v>118200</v>
      </c>
      <c r="BZ658">
        <f>ROUND(Granger_Inventory[[#This Row],[detatched_value]]*Lookups!$I$45,-2)</f>
        <v>0</v>
      </c>
      <c r="CA65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8">
        <f>Granger_Inventory[[#This Row],[final_det]]+Granger_Inventory[[#This Row],[final_res]]</f>
        <v>0</v>
      </c>
      <c r="CC658">
        <f>Granger_Inventory[[#This Row],[final_land]]+Granger_Inventory[[#This Row],[final_imp]]+Granger_Inventory[[#This Row],[crop_value]]</f>
        <v>118200</v>
      </c>
      <c r="CE658" t="str">
        <f t="shared" si="11"/>
        <v>update valuation set market_land =118200, market_bldg=0, market_total =118200, market_mdno =402, market_date ='9/10/2023' where link_id = (select link_id from parcel where parcel_year = '2024' and parcel_id = '21101634438');</v>
      </c>
    </row>
    <row r="659" spans="1:83" x14ac:dyDescent="0.25">
      <c r="A659">
        <v>21101634452</v>
      </c>
      <c r="B659">
        <v>0.17</v>
      </c>
      <c r="C659">
        <v>7514</v>
      </c>
      <c r="D659" t="s">
        <v>137</v>
      </c>
      <c r="E659" t="s">
        <v>54</v>
      </c>
      <c r="F659" t="s">
        <v>54</v>
      </c>
      <c r="G659">
        <v>3</v>
      </c>
      <c r="H659" t="s">
        <v>55</v>
      </c>
      <c r="I659">
        <v>0</v>
      </c>
      <c r="J659">
        <v>26500</v>
      </c>
      <c r="K659">
        <v>0.17</v>
      </c>
      <c r="L659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659">
        <v>0</v>
      </c>
      <c r="N659">
        <v>0</v>
      </c>
      <c r="O659">
        <v>0</v>
      </c>
      <c r="P659">
        <v>47108.068500000001</v>
      </c>
      <c r="Q659">
        <v>122298</v>
      </c>
      <c r="R659">
        <f>(Granger_Inventory[[#This Row],[ln_acres]]*Granger_Inventory[[#This Row],[coeff]])+Granger_Inventory[[#This Row],[const]]</f>
        <v>38824.535711229546</v>
      </c>
      <c r="AY659">
        <v>0</v>
      </c>
      <c r="AZ659">
        <v>0</v>
      </c>
      <c r="BE659">
        <v>0</v>
      </c>
      <c r="BF659">
        <v>15000</v>
      </c>
      <c r="BG659">
        <v>0</v>
      </c>
      <c r="BH659" s="8">
        <f>Granger_Inventory[[#This Row],[land_extract]]*Lookups!$B$3</f>
        <v>23128.971718879347</v>
      </c>
      <c r="BI659" s="8">
        <f>IF(Granger_Inventory[[#This Row],[bldg_style]]="",0,Lookups!$B$2)</f>
        <v>0</v>
      </c>
      <c r="BJ659" s="8">
        <f>_xlfn.IFNA(VLOOKUP(Granger_Inventory[[#This Row],[quality]],Lookups!$H$2:$J$14,3,FALSE),0)</f>
        <v>0</v>
      </c>
      <c r="BK659" s="8">
        <f>_xlfn.IFNA(VLOOKUP(Granger_Inventory[[#This Row],[condition]],Lookups!$H$17:$J$24,3,FALSE),0)</f>
        <v>0</v>
      </c>
      <c r="BL659" s="8">
        <f>Granger_Inventory[[#This Row],[Age]]*Lookups!$B$16</f>
        <v>0</v>
      </c>
      <c r="BM659" s="8">
        <f>Granger_Inventory[[#This Row],[living_area]]*Lookups!$B$17</f>
        <v>0</v>
      </c>
      <c r="BN659" s="8">
        <f>(Granger_Inventory[[#This Row],[att_gar]]+Granger_Inventory[[#This Row],[blt_gar]])*Lookups!$B$18</f>
        <v>0</v>
      </c>
      <c r="BO659" s="8">
        <f>Granger_Inventory[[#This Row],[Patio]]*Lookups!$B$19</f>
        <v>0</v>
      </c>
      <c r="BP659" s="8">
        <f>SUM(Granger_Inventory[[#This Row],[Intercept]:[Patio_Value]])*Granger_Inventory[[#This Row],[res_pct]]</f>
        <v>0</v>
      </c>
      <c r="BQ659" s="8">
        <f>Granger_Inventory[[#This Row],[land_value]]</f>
        <v>23128.971718879347</v>
      </c>
      <c r="BR659" s="4">
        <f>_xlfn.IFNA(VLOOKUP(Granger_Inventory[[#This Row],[quality]],Lookups!$A$25:$C$35,3,FALSE),1)</f>
        <v>1</v>
      </c>
      <c r="BS659" s="4">
        <f>_xlfn.IFNA(VLOOKUP(Granger_Inventory[[#This Row],[condition]],Lookups!$A$38:$C$45,3,FALSE),1)</f>
        <v>1</v>
      </c>
      <c r="BT659" s="4">
        <f>IF(Granger_Inventory[[#This Row],[decade]]="",1,_xlfn.IFNA(VLOOKUP(Granger_Inventory[[#This Row],[decade]],Lookups!$G$28:$I$42,3,FALSE),1))</f>
        <v>1</v>
      </c>
      <c r="BU659" s="4">
        <f>_xlfn.IFNA(VLOOKUP(Granger_Inventory[[#This Row],[living_area_range]],Lookups!$A$48:$C$57,3,FALSE),1)</f>
        <v>1</v>
      </c>
      <c r="BV659" s="4">
        <f>AVERAGE(Granger_Inventory[[#This Row],[qual_adj]:[living_range_adj]])</f>
        <v>1</v>
      </c>
      <c r="BW659" s="8">
        <f>(Granger_Inventory[[#This Row],[sum_land]]-IF(Granger_Inventory[[#This Row],[no_utilities]]=1,12000,0))/IF(Granger_Inventory[[#This Row],[unbuildable]]=1,2,1)</f>
        <v>23128.971718879347</v>
      </c>
      <c r="BX659" s="8">
        <f>Granger_Inventory[[#This Row],[pre_res]]*Granger_Inventory[[#This Row],[overall_adj]]</f>
        <v>0</v>
      </c>
      <c r="BY659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659">
        <f>ROUND(Granger_Inventory[[#This Row],[detatched_value]]*Lookups!$I$45,-2)</f>
        <v>0</v>
      </c>
      <c r="CA65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59">
        <f>Granger_Inventory[[#This Row],[final_det]]+Granger_Inventory[[#This Row],[final_res]]</f>
        <v>0</v>
      </c>
      <c r="CC659">
        <f>Granger_Inventory[[#This Row],[final_land]]+Granger_Inventory[[#This Row],[final_imp]]+Granger_Inventory[[#This Row],[crop_value]]</f>
        <v>22000</v>
      </c>
      <c r="CE659" t="str">
        <f t="shared" si="11"/>
        <v>update valuation set market_land =22000, market_bldg=0, market_total =22000, market_mdno =402, market_date ='9/10/2023' where link_id = (select link_id from parcel where parcel_year = '2024' and parcel_id = '21101634452');</v>
      </c>
    </row>
    <row r="660" spans="1:83" x14ac:dyDescent="0.25">
      <c r="A660">
        <v>21101634456</v>
      </c>
      <c r="B660">
        <v>28.21</v>
      </c>
      <c r="C660">
        <v>1229033</v>
      </c>
      <c r="D660" t="s">
        <v>137</v>
      </c>
      <c r="E660" t="s">
        <v>54</v>
      </c>
      <c r="F660" t="s">
        <v>54</v>
      </c>
      <c r="G660">
        <v>3</v>
      </c>
      <c r="H660" t="s">
        <v>171</v>
      </c>
      <c r="I660">
        <v>0</v>
      </c>
      <c r="J660">
        <v>169300</v>
      </c>
      <c r="K660">
        <v>28.21</v>
      </c>
      <c r="L660">
        <f>IF(Granger_Inventory[[#This Row],[parcel_acres]]-Granger_Inventory[[#This Row],[non_valued_acres]] =0,0,LN(Granger_Inventory[[#This Row],[parcel_acres]]-Granger_Inventory[[#This Row],[non_valued_acres]]))</f>
        <v>3.3396765250139051</v>
      </c>
      <c r="M660">
        <v>0</v>
      </c>
      <c r="N660">
        <v>0</v>
      </c>
      <c r="O660">
        <v>0</v>
      </c>
      <c r="P660">
        <v>47108.068500000001</v>
      </c>
      <c r="Q660">
        <v>122298</v>
      </c>
      <c r="R660">
        <f>(Granger_Inventory[[#This Row],[ln_acres]]*Granger_Inventory[[#This Row],[coeff]])+Granger_Inventory[[#This Row],[const]]</f>
        <v>279623.71050819702</v>
      </c>
      <c r="AY660">
        <v>0</v>
      </c>
      <c r="AZ660">
        <v>0</v>
      </c>
      <c r="BE660">
        <v>0</v>
      </c>
      <c r="BF660">
        <v>15000</v>
      </c>
      <c r="BG660">
        <v>0</v>
      </c>
      <c r="BH660" s="8">
        <f>Granger_Inventory[[#This Row],[land_extract]]*Lookups!$B$3</f>
        <v>166580.45676001662</v>
      </c>
      <c r="BI660" s="8">
        <f>IF(Granger_Inventory[[#This Row],[bldg_style]]="",0,Lookups!$B$2)</f>
        <v>0</v>
      </c>
      <c r="BJ660" s="8">
        <f>_xlfn.IFNA(VLOOKUP(Granger_Inventory[[#This Row],[quality]],Lookups!$H$2:$J$14,3,FALSE),0)</f>
        <v>0</v>
      </c>
      <c r="BK660" s="8">
        <f>_xlfn.IFNA(VLOOKUP(Granger_Inventory[[#This Row],[condition]],Lookups!$H$17:$J$24,3,FALSE),0)</f>
        <v>0</v>
      </c>
      <c r="BL660" s="8">
        <f>Granger_Inventory[[#This Row],[Age]]*Lookups!$B$16</f>
        <v>0</v>
      </c>
      <c r="BM660" s="8">
        <f>Granger_Inventory[[#This Row],[living_area]]*Lookups!$B$17</f>
        <v>0</v>
      </c>
      <c r="BN660" s="8">
        <f>(Granger_Inventory[[#This Row],[att_gar]]+Granger_Inventory[[#This Row],[blt_gar]])*Lookups!$B$18</f>
        <v>0</v>
      </c>
      <c r="BO660" s="8">
        <f>Granger_Inventory[[#This Row],[Patio]]*Lookups!$B$19</f>
        <v>0</v>
      </c>
      <c r="BP660" s="8">
        <f>SUM(Granger_Inventory[[#This Row],[Intercept]:[Patio_Value]])*Granger_Inventory[[#This Row],[res_pct]]</f>
        <v>0</v>
      </c>
      <c r="BQ660" s="8">
        <f>Granger_Inventory[[#This Row],[land_value]]</f>
        <v>166580.45676001662</v>
      </c>
      <c r="BR660" s="4">
        <f>_xlfn.IFNA(VLOOKUP(Granger_Inventory[[#This Row],[quality]],Lookups!$A$25:$C$35,3,FALSE),1)</f>
        <v>1</v>
      </c>
      <c r="BS660" s="4">
        <f>_xlfn.IFNA(VLOOKUP(Granger_Inventory[[#This Row],[condition]],Lookups!$A$38:$C$45,3,FALSE),1)</f>
        <v>1</v>
      </c>
      <c r="BT660" s="4">
        <f>IF(Granger_Inventory[[#This Row],[decade]]="",1,_xlfn.IFNA(VLOOKUP(Granger_Inventory[[#This Row],[decade]],Lookups!$G$28:$I$42,3,FALSE),1))</f>
        <v>1</v>
      </c>
      <c r="BU660" s="4">
        <f>_xlfn.IFNA(VLOOKUP(Granger_Inventory[[#This Row],[living_area_range]],Lookups!$A$48:$C$57,3,FALSE),1)</f>
        <v>1</v>
      </c>
      <c r="BV660" s="4">
        <f>AVERAGE(Granger_Inventory[[#This Row],[qual_adj]:[living_range_adj]])</f>
        <v>1</v>
      </c>
      <c r="BW660" s="8">
        <f>(Granger_Inventory[[#This Row],[sum_land]]-IF(Granger_Inventory[[#This Row],[no_utilities]]=1,12000,0))/IF(Granger_Inventory[[#This Row],[unbuildable]]=1,2,1)</f>
        <v>166580.45676001662</v>
      </c>
      <c r="BX660" s="8">
        <f>Granger_Inventory[[#This Row],[pre_res]]*Granger_Inventory[[#This Row],[overall_adj]]</f>
        <v>0</v>
      </c>
      <c r="BY660">
        <f>IF(ROUND(Granger_Inventory[[#This Row],[adj_land]]*Lookups!$I$45,-2)&lt;Granger_Inventory[[#This Row],[min_land]],Granger_Inventory[[#This Row],[min_land]],ROUND(Granger_Inventory[[#This Row],[adj_land]]*Lookups!$I$45,-2))</f>
        <v>158300</v>
      </c>
      <c r="BZ660">
        <f>ROUND(Granger_Inventory[[#This Row],[detatched_value]]*Lookups!$I$45,-2)</f>
        <v>0</v>
      </c>
      <c r="CA66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0">
        <f>Granger_Inventory[[#This Row],[final_det]]+Granger_Inventory[[#This Row],[final_res]]</f>
        <v>0</v>
      </c>
      <c r="CC660">
        <f>Granger_Inventory[[#This Row],[final_land]]+Granger_Inventory[[#This Row],[final_imp]]+Granger_Inventory[[#This Row],[crop_value]]</f>
        <v>158300</v>
      </c>
      <c r="CE660" t="str">
        <f t="shared" si="11"/>
        <v>update valuation set market_land =158300, market_bldg=0, market_total =158300, market_mdno =402, market_date ='9/10/2023' where link_id = (select link_id from parcel where parcel_year = '2024' and parcel_id = '21101634456');</v>
      </c>
    </row>
    <row r="661" spans="1:83" x14ac:dyDescent="0.25">
      <c r="A661">
        <v>21101634458</v>
      </c>
      <c r="B661">
        <v>0.27</v>
      </c>
      <c r="C661">
        <v>11826</v>
      </c>
      <c r="D661" t="s">
        <v>137</v>
      </c>
      <c r="E661" t="s">
        <v>54</v>
      </c>
      <c r="F661" t="s">
        <v>54</v>
      </c>
      <c r="G661">
        <v>3</v>
      </c>
      <c r="H661" t="s">
        <v>55</v>
      </c>
      <c r="I661">
        <v>0</v>
      </c>
      <c r="J661">
        <v>3000</v>
      </c>
      <c r="K661">
        <v>0.27</v>
      </c>
      <c r="L661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661">
        <v>0</v>
      </c>
      <c r="N661">
        <v>0</v>
      </c>
      <c r="O661">
        <v>0</v>
      </c>
      <c r="P661">
        <v>47108.068500000001</v>
      </c>
      <c r="Q661">
        <v>122298</v>
      </c>
      <c r="R661">
        <f>(Granger_Inventory[[#This Row],[ln_acres]]*Granger_Inventory[[#This Row],[coeff]])+Granger_Inventory[[#This Row],[const]]</f>
        <v>60617.836272872511</v>
      </c>
      <c r="AY661">
        <v>0</v>
      </c>
      <c r="AZ661">
        <v>0</v>
      </c>
      <c r="BE661">
        <v>0</v>
      </c>
      <c r="BF661">
        <v>15000</v>
      </c>
      <c r="BG661">
        <v>0</v>
      </c>
      <c r="BH661" s="8">
        <f>Granger_Inventory[[#This Row],[land_extract]]*Lookups!$B$3</f>
        <v>36111.912097107357</v>
      </c>
      <c r="BI661" s="8">
        <f>IF(Granger_Inventory[[#This Row],[bldg_style]]="",0,Lookups!$B$2)</f>
        <v>0</v>
      </c>
      <c r="BJ661" s="8">
        <f>_xlfn.IFNA(VLOOKUP(Granger_Inventory[[#This Row],[quality]],Lookups!$H$2:$J$14,3,FALSE),0)</f>
        <v>0</v>
      </c>
      <c r="BK661" s="8">
        <f>_xlfn.IFNA(VLOOKUP(Granger_Inventory[[#This Row],[condition]],Lookups!$H$17:$J$24,3,FALSE),0)</f>
        <v>0</v>
      </c>
      <c r="BL661" s="8">
        <f>Granger_Inventory[[#This Row],[Age]]*Lookups!$B$16</f>
        <v>0</v>
      </c>
      <c r="BM661" s="8">
        <f>Granger_Inventory[[#This Row],[living_area]]*Lookups!$B$17</f>
        <v>0</v>
      </c>
      <c r="BN661" s="8">
        <f>(Granger_Inventory[[#This Row],[att_gar]]+Granger_Inventory[[#This Row],[blt_gar]])*Lookups!$B$18</f>
        <v>0</v>
      </c>
      <c r="BO661" s="8">
        <f>Granger_Inventory[[#This Row],[Patio]]*Lookups!$B$19</f>
        <v>0</v>
      </c>
      <c r="BP661" s="8">
        <f>SUM(Granger_Inventory[[#This Row],[Intercept]:[Patio_Value]])*Granger_Inventory[[#This Row],[res_pct]]</f>
        <v>0</v>
      </c>
      <c r="BQ661" s="8">
        <f>Granger_Inventory[[#This Row],[land_value]]</f>
        <v>36111.912097107357</v>
      </c>
      <c r="BR661" s="4">
        <f>_xlfn.IFNA(VLOOKUP(Granger_Inventory[[#This Row],[quality]],Lookups!$A$25:$C$35,3,FALSE),1)</f>
        <v>1</v>
      </c>
      <c r="BS661" s="4">
        <f>_xlfn.IFNA(VLOOKUP(Granger_Inventory[[#This Row],[condition]],Lookups!$A$38:$C$45,3,FALSE),1)</f>
        <v>1</v>
      </c>
      <c r="BT661" s="4">
        <f>IF(Granger_Inventory[[#This Row],[decade]]="",1,_xlfn.IFNA(VLOOKUP(Granger_Inventory[[#This Row],[decade]],Lookups!$G$28:$I$42,3,FALSE),1))</f>
        <v>1</v>
      </c>
      <c r="BU661" s="4">
        <f>_xlfn.IFNA(VLOOKUP(Granger_Inventory[[#This Row],[living_area_range]],Lookups!$A$48:$C$57,3,FALSE),1)</f>
        <v>1</v>
      </c>
      <c r="BV661" s="4">
        <f>AVERAGE(Granger_Inventory[[#This Row],[qual_adj]:[living_range_adj]])</f>
        <v>1</v>
      </c>
      <c r="BW661" s="8">
        <f>(Granger_Inventory[[#This Row],[sum_land]]-IF(Granger_Inventory[[#This Row],[no_utilities]]=1,12000,0))/IF(Granger_Inventory[[#This Row],[unbuildable]]=1,2,1)</f>
        <v>36111.912097107357</v>
      </c>
      <c r="BX661" s="8">
        <f>Granger_Inventory[[#This Row],[pre_res]]*Granger_Inventory[[#This Row],[overall_adj]]</f>
        <v>0</v>
      </c>
      <c r="BY661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661">
        <f>ROUND(Granger_Inventory[[#This Row],[detatched_value]]*Lookups!$I$45,-2)</f>
        <v>0</v>
      </c>
      <c r="CA66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1">
        <f>Granger_Inventory[[#This Row],[final_det]]+Granger_Inventory[[#This Row],[final_res]]</f>
        <v>0</v>
      </c>
      <c r="CC661">
        <f>Granger_Inventory[[#This Row],[final_land]]+Granger_Inventory[[#This Row],[final_imp]]+Granger_Inventory[[#This Row],[crop_value]]</f>
        <v>34300</v>
      </c>
      <c r="CE661" t="str">
        <f t="shared" si="11"/>
        <v>update valuation set market_land =34300, market_bldg=0, market_total =34300, market_mdno =402, market_date ='9/10/2023' where link_id = (select link_id from parcel where parcel_year = '2024' and parcel_id = '21101634458');</v>
      </c>
    </row>
    <row r="662" spans="1:83" x14ac:dyDescent="0.25">
      <c r="A662">
        <v>21101641495</v>
      </c>
      <c r="B662">
        <v>0.14000000000000001</v>
      </c>
      <c r="C662">
        <v>6097</v>
      </c>
      <c r="D662" t="s">
        <v>137</v>
      </c>
      <c r="E662" t="s">
        <v>54</v>
      </c>
      <c r="F662" t="s">
        <v>54</v>
      </c>
      <c r="G662">
        <v>3</v>
      </c>
      <c r="H662" t="s">
        <v>55</v>
      </c>
      <c r="I662">
        <v>0</v>
      </c>
      <c r="J662">
        <v>25400</v>
      </c>
      <c r="K662">
        <v>0.14000000000000001</v>
      </c>
      <c r="L662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662">
        <v>0</v>
      </c>
      <c r="N662">
        <v>0</v>
      </c>
      <c r="O662">
        <v>0</v>
      </c>
      <c r="P662">
        <v>47108.068500000001</v>
      </c>
      <c r="Q662">
        <v>122298</v>
      </c>
      <c r="R662">
        <f>(Granger_Inventory[[#This Row],[ln_acres]]*Granger_Inventory[[#This Row],[coeff]])+Granger_Inventory[[#This Row],[const]]</f>
        <v>29678.220883257934</v>
      </c>
      <c r="AY662">
        <v>0</v>
      </c>
      <c r="AZ662">
        <v>0</v>
      </c>
      <c r="BE662">
        <v>0</v>
      </c>
      <c r="BF662">
        <v>15000</v>
      </c>
      <c r="BG662">
        <v>0</v>
      </c>
      <c r="BH662" s="8">
        <f>Granger_Inventory[[#This Row],[land_extract]]*Lookups!$B$3</f>
        <v>17680.230269359956</v>
      </c>
      <c r="BI662" s="8">
        <f>IF(Granger_Inventory[[#This Row],[bldg_style]]="",0,Lookups!$B$2)</f>
        <v>0</v>
      </c>
      <c r="BJ662" s="8">
        <f>_xlfn.IFNA(VLOOKUP(Granger_Inventory[[#This Row],[quality]],Lookups!$H$2:$J$14,3,FALSE),0)</f>
        <v>0</v>
      </c>
      <c r="BK662" s="8">
        <f>_xlfn.IFNA(VLOOKUP(Granger_Inventory[[#This Row],[condition]],Lookups!$H$17:$J$24,3,FALSE),0)</f>
        <v>0</v>
      </c>
      <c r="BL662" s="8">
        <f>Granger_Inventory[[#This Row],[Age]]*Lookups!$B$16</f>
        <v>0</v>
      </c>
      <c r="BM662" s="8">
        <f>Granger_Inventory[[#This Row],[living_area]]*Lookups!$B$17</f>
        <v>0</v>
      </c>
      <c r="BN662" s="8">
        <f>(Granger_Inventory[[#This Row],[att_gar]]+Granger_Inventory[[#This Row],[blt_gar]])*Lookups!$B$18</f>
        <v>0</v>
      </c>
      <c r="BO662" s="8">
        <f>Granger_Inventory[[#This Row],[Patio]]*Lookups!$B$19</f>
        <v>0</v>
      </c>
      <c r="BP662" s="8">
        <f>SUM(Granger_Inventory[[#This Row],[Intercept]:[Patio_Value]])*Granger_Inventory[[#This Row],[res_pct]]</f>
        <v>0</v>
      </c>
      <c r="BQ662" s="8">
        <f>Granger_Inventory[[#This Row],[land_value]]</f>
        <v>17680.230269359956</v>
      </c>
      <c r="BR662" s="4">
        <f>_xlfn.IFNA(VLOOKUP(Granger_Inventory[[#This Row],[quality]],Lookups!$A$25:$C$35,3,FALSE),1)</f>
        <v>1</v>
      </c>
      <c r="BS662" s="4">
        <f>_xlfn.IFNA(VLOOKUP(Granger_Inventory[[#This Row],[condition]],Lookups!$A$38:$C$45,3,FALSE),1)</f>
        <v>1</v>
      </c>
      <c r="BT662" s="4">
        <f>IF(Granger_Inventory[[#This Row],[decade]]="",1,_xlfn.IFNA(VLOOKUP(Granger_Inventory[[#This Row],[decade]],Lookups!$G$28:$I$42,3,FALSE),1))</f>
        <v>1</v>
      </c>
      <c r="BU662" s="4">
        <f>_xlfn.IFNA(VLOOKUP(Granger_Inventory[[#This Row],[living_area_range]],Lookups!$A$48:$C$57,3,FALSE),1)</f>
        <v>1</v>
      </c>
      <c r="BV662" s="4">
        <f>AVERAGE(Granger_Inventory[[#This Row],[qual_adj]:[living_range_adj]])</f>
        <v>1</v>
      </c>
      <c r="BW662" s="8">
        <f>(Granger_Inventory[[#This Row],[sum_land]]-IF(Granger_Inventory[[#This Row],[no_utilities]]=1,12000,0))/IF(Granger_Inventory[[#This Row],[unbuildable]]=1,2,1)</f>
        <v>17680.230269359956</v>
      </c>
      <c r="BX662" s="8">
        <f>Granger_Inventory[[#This Row],[pre_res]]*Granger_Inventory[[#This Row],[overall_adj]]</f>
        <v>0</v>
      </c>
      <c r="BY662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662">
        <f>ROUND(Granger_Inventory[[#This Row],[detatched_value]]*Lookups!$I$45,-2)</f>
        <v>0</v>
      </c>
      <c r="CA66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2">
        <f>Granger_Inventory[[#This Row],[final_det]]+Granger_Inventory[[#This Row],[final_res]]</f>
        <v>0</v>
      </c>
      <c r="CC662">
        <f>Granger_Inventory[[#This Row],[final_land]]+Granger_Inventory[[#This Row],[final_imp]]+Granger_Inventory[[#This Row],[crop_value]]</f>
        <v>16800</v>
      </c>
      <c r="CE662" t="str">
        <f t="shared" si="11"/>
        <v>update valuation set market_land =16800, market_bldg=0, market_total =16800, market_mdno =402, market_date ='9/10/2023' where link_id = (select link_id from parcel where parcel_year = '2024' and parcel_id = '21101641495');</v>
      </c>
    </row>
    <row r="663" spans="1:83" x14ac:dyDescent="0.25">
      <c r="A663">
        <v>21101641505</v>
      </c>
      <c r="B663">
        <v>0.21</v>
      </c>
      <c r="C663">
        <v>8958</v>
      </c>
      <c r="D663" t="s">
        <v>137</v>
      </c>
      <c r="E663" t="s">
        <v>54</v>
      </c>
      <c r="F663" t="s">
        <v>54</v>
      </c>
      <c r="G663">
        <v>3</v>
      </c>
      <c r="H663" t="s">
        <v>55</v>
      </c>
      <c r="I663">
        <v>0</v>
      </c>
      <c r="J663">
        <v>27700</v>
      </c>
      <c r="K663">
        <v>0.21</v>
      </c>
      <c r="L663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663">
        <v>0</v>
      </c>
      <c r="N663">
        <v>0</v>
      </c>
      <c r="O663">
        <v>0</v>
      </c>
      <c r="P663">
        <v>47108.068500000001</v>
      </c>
      <c r="Q663">
        <v>122298</v>
      </c>
      <c r="R663">
        <f>(Granger_Inventory[[#This Row],[ln_acres]]*Granger_Inventory[[#This Row],[coeff]])+Granger_Inventory[[#This Row],[const]]</f>
        <v>48778.898970377239</v>
      </c>
      <c r="AY663">
        <v>0</v>
      </c>
      <c r="AZ663">
        <v>0</v>
      </c>
      <c r="BE663">
        <v>0</v>
      </c>
      <c r="BF663">
        <v>15000</v>
      </c>
      <c r="BG663">
        <v>0</v>
      </c>
      <c r="BH663" s="8">
        <f>Granger_Inventory[[#This Row],[land_extract]]*Lookups!$B$3</f>
        <v>29059.09250674201</v>
      </c>
      <c r="BI663" s="8">
        <f>IF(Granger_Inventory[[#This Row],[bldg_style]]="",0,Lookups!$B$2)</f>
        <v>0</v>
      </c>
      <c r="BJ663" s="8">
        <f>_xlfn.IFNA(VLOOKUP(Granger_Inventory[[#This Row],[quality]],Lookups!$H$2:$J$14,3,FALSE),0)</f>
        <v>0</v>
      </c>
      <c r="BK663" s="8">
        <f>_xlfn.IFNA(VLOOKUP(Granger_Inventory[[#This Row],[condition]],Lookups!$H$17:$J$24,3,FALSE),0)</f>
        <v>0</v>
      </c>
      <c r="BL663" s="8">
        <f>Granger_Inventory[[#This Row],[Age]]*Lookups!$B$16</f>
        <v>0</v>
      </c>
      <c r="BM663" s="8">
        <f>Granger_Inventory[[#This Row],[living_area]]*Lookups!$B$17</f>
        <v>0</v>
      </c>
      <c r="BN663" s="8">
        <f>(Granger_Inventory[[#This Row],[att_gar]]+Granger_Inventory[[#This Row],[blt_gar]])*Lookups!$B$18</f>
        <v>0</v>
      </c>
      <c r="BO663" s="8">
        <f>Granger_Inventory[[#This Row],[Patio]]*Lookups!$B$19</f>
        <v>0</v>
      </c>
      <c r="BP663" s="8">
        <f>SUM(Granger_Inventory[[#This Row],[Intercept]:[Patio_Value]])*Granger_Inventory[[#This Row],[res_pct]]</f>
        <v>0</v>
      </c>
      <c r="BQ663" s="8">
        <f>Granger_Inventory[[#This Row],[land_value]]</f>
        <v>29059.09250674201</v>
      </c>
      <c r="BR663" s="4">
        <f>_xlfn.IFNA(VLOOKUP(Granger_Inventory[[#This Row],[quality]],Lookups!$A$25:$C$35,3,FALSE),1)</f>
        <v>1</v>
      </c>
      <c r="BS663" s="4">
        <f>_xlfn.IFNA(VLOOKUP(Granger_Inventory[[#This Row],[condition]],Lookups!$A$38:$C$45,3,FALSE),1)</f>
        <v>1</v>
      </c>
      <c r="BT663" s="4">
        <f>IF(Granger_Inventory[[#This Row],[decade]]="",1,_xlfn.IFNA(VLOOKUP(Granger_Inventory[[#This Row],[decade]],Lookups!$G$28:$I$42,3,FALSE),1))</f>
        <v>1</v>
      </c>
      <c r="BU663" s="4">
        <f>_xlfn.IFNA(VLOOKUP(Granger_Inventory[[#This Row],[living_area_range]],Lookups!$A$48:$C$57,3,FALSE),1)</f>
        <v>1</v>
      </c>
      <c r="BV663" s="4">
        <f>AVERAGE(Granger_Inventory[[#This Row],[qual_adj]:[living_range_adj]])</f>
        <v>1</v>
      </c>
      <c r="BW663" s="8">
        <f>(Granger_Inventory[[#This Row],[sum_land]]-IF(Granger_Inventory[[#This Row],[no_utilities]]=1,12000,0))/IF(Granger_Inventory[[#This Row],[unbuildable]]=1,2,1)</f>
        <v>29059.09250674201</v>
      </c>
      <c r="BX663" s="8">
        <f>Granger_Inventory[[#This Row],[pre_res]]*Granger_Inventory[[#This Row],[overall_adj]]</f>
        <v>0</v>
      </c>
      <c r="BY663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663">
        <f>ROUND(Granger_Inventory[[#This Row],[detatched_value]]*Lookups!$I$45,-2)</f>
        <v>0</v>
      </c>
      <c r="CA66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3">
        <f>Granger_Inventory[[#This Row],[final_det]]+Granger_Inventory[[#This Row],[final_res]]</f>
        <v>0</v>
      </c>
      <c r="CC663">
        <f>Granger_Inventory[[#This Row],[final_land]]+Granger_Inventory[[#This Row],[final_imp]]+Granger_Inventory[[#This Row],[crop_value]]</f>
        <v>27600</v>
      </c>
      <c r="CE663" t="str">
        <f t="shared" si="11"/>
        <v>update valuation set market_land =27600, market_bldg=0, market_total =27600, market_mdno =402, market_date ='9/10/2023' where link_id = (select link_id from parcel where parcel_year = '2024' and parcel_id = '21101641505');</v>
      </c>
    </row>
    <row r="664" spans="1:83" x14ac:dyDescent="0.25">
      <c r="A664">
        <v>21101641596</v>
      </c>
      <c r="B664">
        <v>0.56000000000000005</v>
      </c>
      <c r="C664" t="s">
        <v>137</v>
      </c>
      <c r="D664" t="s">
        <v>137</v>
      </c>
      <c r="E664" t="s">
        <v>54</v>
      </c>
      <c r="F664" t="s">
        <v>54</v>
      </c>
      <c r="G664">
        <v>3</v>
      </c>
      <c r="H664" t="s">
        <v>55</v>
      </c>
      <c r="I664">
        <v>0</v>
      </c>
      <c r="J664">
        <v>33500</v>
      </c>
      <c r="K664">
        <v>0.56000000000000005</v>
      </c>
      <c r="L664">
        <f>IF(Granger_Inventory[[#This Row],[parcel_acres]]-Granger_Inventory[[#This Row],[non_valued_acres]] =0,0,LN(Granger_Inventory[[#This Row],[parcel_acres]]-Granger_Inventory[[#This Row],[non_valued_acres]]))</f>
        <v>-0.57981849525294205</v>
      </c>
      <c r="M664">
        <v>0</v>
      </c>
      <c r="N664">
        <v>0</v>
      </c>
      <c r="O664">
        <v>0</v>
      </c>
      <c r="P664">
        <v>47108.068500000001</v>
      </c>
      <c r="Q664">
        <v>122298</v>
      </c>
      <c r="R664">
        <f>(Granger_Inventory[[#This Row],[ln_acres]]*Granger_Inventory[[#This Row],[coeff]])+Granger_Inventory[[#This Row],[const]]</f>
        <v>94983.870608057478</v>
      </c>
      <c r="AY664">
        <v>0</v>
      </c>
      <c r="AZ664">
        <v>0</v>
      </c>
      <c r="BE664">
        <v>0</v>
      </c>
      <c r="BF664">
        <v>15000</v>
      </c>
      <c r="BG664">
        <v>0</v>
      </c>
      <c r="BH664" s="8">
        <f>Granger_Inventory[[#This Row],[land_extract]]*Lookups!$B$3</f>
        <v>56584.81722443457</v>
      </c>
      <c r="BI664" s="8">
        <f>IF(Granger_Inventory[[#This Row],[bldg_style]]="",0,Lookups!$B$2)</f>
        <v>0</v>
      </c>
      <c r="BJ664" s="8">
        <f>_xlfn.IFNA(VLOOKUP(Granger_Inventory[[#This Row],[quality]],Lookups!$H$2:$J$14,3,FALSE),0)</f>
        <v>0</v>
      </c>
      <c r="BK664" s="8">
        <f>_xlfn.IFNA(VLOOKUP(Granger_Inventory[[#This Row],[condition]],Lookups!$H$17:$J$24,3,FALSE),0)</f>
        <v>0</v>
      </c>
      <c r="BL664" s="8">
        <f>Granger_Inventory[[#This Row],[Age]]*Lookups!$B$16</f>
        <v>0</v>
      </c>
      <c r="BM664" s="8">
        <f>Granger_Inventory[[#This Row],[living_area]]*Lookups!$B$17</f>
        <v>0</v>
      </c>
      <c r="BN664" s="8">
        <f>(Granger_Inventory[[#This Row],[att_gar]]+Granger_Inventory[[#This Row],[blt_gar]])*Lookups!$B$18</f>
        <v>0</v>
      </c>
      <c r="BO664" s="8">
        <f>Granger_Inventory[[#This Row],[Patio]]*Lookups!$B$19</f>
        <v>0</v>
      </c>
      <c r="BP664" s="8">
        <f>SUM(Granger_Inventory[[#This Row],[Intercept]:[Patio_Value]])*Granger_Inventory[[#This Row],[res_pct]]</f>
        <v>0</v>
      </c>
      <c r="BQ664" s="8">
        <f>Granger_Inventory[[#This Row],[land_value]]</f>
        <v>56584.81722443457</v>
      </c>
      <c r="BR664" s="4">
        <f>_xlfn.IFNA(VLOOKUP(Granger_Inventory[[#This Row],[quality]],Lookups!$A$25:$C$35,3,FALSE),1)</f>
        <v>1</v>
      </c>
      <c r="BS664" s="4">
        <f>_xlfn.IFNA(VLOOKUP(Granger_Inventory[[#This Row],[condition]],Lookups!$A$38:$C$45,3,FALSE),1)</f>
        <v>1</v>
      </c>
      <c r="BT664" s="4">
        <f>IF(Granger_Inventory[[#This Row],[decade]]="",1,_xlfn.IFNA(VLOOKUP(Granger_Inventory[[#This Row],[decade]],Lookups!$G$28:$I$42,3,FALSE),1))</f>
        <v>1</v>
      </c>
      <c r="BU664" s="4">
        <f>_xlfn.IFNA(VLOOKUP(Granger_Inventory[[#This Row],[living_area_range]],Lookups!$A$48:$C$57,3,FALSE),1)</f>
        <v>1</v>
      </c>
      <c r="BV664" s="4">
        <f>AVERAGE(Granger_Inventory[[#This Row],[qual_adj]:[living_range_adj]])</f>
        <v>1</v>
      </c>
      <c r="BW664" s="8">
        <f>(Granger_Inventory[[#This Row],[sum_land]]-IF(Granger_Inventory[[#This Row],[no_utilities]]=1,12000,0))/IF(Granger_Inventory[[#This Row],[unbuildable]]=1,2,1)</f>
        <v>56584.81722443457</v>
      </c>
      <c r="BX664" s="8">
        <f>Granger_Inventory[[#This Row],[pre_res]]*Granger_Inventory[[#This Row],[overall_adj]]</f>
        <v>0</v>
      </c>
      <c r="BY664">
        <f>IF(ROUND(Granger_Inventory[[#This Row],[adj_land]]*Lookups!$I$45,-2)&lt;Granger_Inventory[[#This Row],[min_land]],Granger_Inventory[[#This Row],[min_land]],ROUND(Granger_Inventory[[#This Row],[adj_land]]*Lookups!$I$45,-2))</f>
        <v>53800</v>
      </c>
      <c r="BZ664">
        <f>ROUND(Granger_Inventory[[#This Row],[detatched_value]]*Lookups!$I$45,-2)</f>
        <v>0</v>
      </c>
      <c r="CA66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4">
        <f>Granger_Inventory[[#This Row],[final_det]]+Granger_Inventory[[#This Row],[final_res]]</f>
        <v>0</v>
      </c>
      <c r="CC664">
        <f>Granger_Inventory[[#This Row],[final_land]]+Granger_Inventory[[#This Row],[final_imp]]+Granger_Inventory[[#This Row],[crop_value]]</f>
        <v>53800</v>
      </c>
      <c r="CE664" t="str">
        <f t="shared" si="11"/>
        <v>update valuation set market_land =53800, market_bldg=0, market_total =53800, market_mdno =402, market_date ='9/10/2023' where link_id = (select link_id from parcel where parcel_year = '2024' and parcel_id = '21101641596');</v>
      </c>
    </row>
    <row r="665" spans="1:83" x14ac:dyDescent="0.25">
      <c r="A665">
        <v>21101641597</v>
      </c>
      <c r="B665">
        <v>0.55000000000000004</v>
      </c>
      <c r="C665" t="s">
        <v>137</v>
      </c>
      <c r="D665" t="s">
        <v>137</v>
      </c>
      <c r="E665" t="s">
        <v>54</v>
      </c>
      <c r="F665" t="s">
        <v>54</v>
      </c>
      <c r="G665">
        <v>3</v>
      </c>
      <c r="H665" t="s">
        <v>55</v>
      </c>
      <c r="I665">
        <v>0</v>
      </c>
      <c r="J665">
        <v>33300</v>
      </c>
      <c r="K665">
        <v>0.55000000000000004</v>
      </c>
      <c r="L665">
        <f>IF(Granger_Inventory[[#This Row],[parcel_acres]]-Granger_Inventory[[#This Row],[non_valued_acres]] =0,0,LN(Granger_Inventory[[#This Row],[parcel_acres]]-Granger_Inventory[[#This Row],[non_valued_acres]]))</f>
        <v>-0.59783700075562041</v>
      </c>
      <c r="M665">
        <v>0</v>
      </c>
      <c r="N665">
        <v>0</v>
      </c>
      <c r="O665">
        <v>0</v>
      </c>
      <c r="P665">
        <v>47108.068500000001</v>
      </c>
      <c r="Q665">
        <v>122298</v>
      </c>
      <c r="R665">
        <f>(Granger_Inventory[[#This Row],[ln_acres]]*Granger_Inventory[[#This Row],[coeff]])+Granger_Inventory[[#This Row],[const]]</f>
        <v>94135.053616569683</v>
      </c>
      <c r="AY665">
        <v>0</v>
      </c>
      <c r="AZ665">
        <v>0</v>
      </c>
      <c r="BE665">
        <v>0</v>
      </c>
      <c r="BF665">
        <v>15000</v>
      </c>
      <c r="BG665">
        <v>0</v>
      </c>
      <c r="BH665" s="8">
        <f>Granger_Inventory[[#This Row],[land_extract]]*Lookups!$B$3</f>
        <v>56079.150799041949</v>
      </c>
      <c r="BI665" s="8">
        <f>IF(Granger_Inventory[[#This Row],[bldg_style]]="",0,Lookups!$B$2)</f>
        <v>0</v>
      </c>
      <c r="BJ665" s="8">
        <f>_xlfn.IFNA(VLOOKUP(Granger_Inventory[[#This Row],[quality]],Lookups!$H$2:$J$14,3,FALSE),0)</f>
        <v>0</v>
      </c>
      <c r="BK665" s="8">
        <f>_xlfn.IFNA(VLOOKUP(Granger_Inventory[[#This Row],[condition]],Lookups!$H$17:$J$24,3,FALSE),0)</f>
        <v>0</v>
      </c>
      <c r="BL665" s="8">
        <f>Granger_Inventory[[#This Row],[Age]]*Lookups!$B$16</f>
        <v>0</v>
      </c>
      <c r="BM665" s="8">
        <f>Granger_Inventory[[#This Row],[living_area]]*Lookups!$B$17</f>
        <v>0</v>
      </c>
      <c r="BN665" s="8">
        <f>(Granger_Inventory[[#This Row],[att_gar]]+Granger_Inventory[[#This Row],[blt_gar]])*Lookups!$B$18</f>
        <v>0</v>
      </c>
      <c r="BO665" s="8">
        <f>Granger_Inventory[[#This Row],[Patio]]*Lookups!$B$19</f>
        <v>0</v>
      </c>
      <c r="BP665" s="8">
        <f>SUM(Granger_Inventory[[#This Row],[Intercept]:[Patio_Value]])*Granger_Inventory[[#This Row],[res_pct]]</f>
        <v>0</v>
      </c>
      <c r="BQ665" s="8">
        <f>Granger_Inventory[[#This Row],[land_value]]</f>
        <v>56079.150799041949</v>
      </c>
      <c r="BR665" s="4">
        <f>_xlfn.IFNA(VLOOKUP(Granger_Inventory[[#This Row],[quality]],Lookups!$A$25:$C$35,3,FALSE),1)</f>
        <v>1</v>
      </c>
      <c r="BS665" s="4">
        <f>_xlfn.IFNA(VLOOKUP(Granger_Inventory[[#This Row],[condition]],Lookups!$A$38:$C$45,3,FALSE),1)</f>
        <v>1</v>
      </c>
      <c r="BT665" s="4">
        <f>IF(Granger_Inventory[[#This Row],[decade]]="",1,_xlfn.IFNA(VLOOKUP(Granger_Inventory[[#This Row],[decade]],Lookups!$G$28:$I$42,3,FALSE),1))</f>
        <v>1</v>
      </c>
      <c r="BU665" s="4">
        <f>_xlfn.IFNA(VLOOKUP(Granger_Inventory[[#This Row],[living_area_range]],Lookups!$A$48:$C$57,3,FALSE),1)</f>
        <v>1</v>
      </c>
      <c r="BV665" s="4">
        <f>AVERAGE(Granger_Inventory[[#This Row],[qual_adj]:[living_range_adj]])</f>
        <v>1</v>
      </c>
      <c r="BW665" s="8">
        <f>(Granger_Inventory[[#This Row],[sum_land]]-IF(Granger_Inventory[[#This Row],[no_utilities]]=1,12000,0))/IF(Granger_Inventory[[#This Row],[unbuildable]]=1,2,1)</f>
        <v>56079.150799041949</v>
      </c>
      <c r="BX665" s="8">
        <f>Granger_Inventory[[#This Row],[pre_res]]*Granger_Inventory[[#This Row],[overall_adj]]</f>
        <v>0</v>
      </c>
      <c r="BY665">
        <f>IF(ROUND(Granger_Inventory[[#This Row],[adj_land]]*Lookups!$I$45,-2)&lt;Granger_Inventory[[#This Row],[min_land]],Granger_Inventory[[#This Row],[min_land]],ROUND(Granger_Inventory[[#This Row],[adj_land]]*Lookups!$I$45,-2))</f>
        <v>53300</v>
      </c>
      <c r="BZ665">
        <f>ROUND(Granger_Inventory[[#This Row],[detatched_value]]*Lookups!$I$45,-2)</f>
        <v>0</v>
      </c>
      <c r="CA66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5">
        <f>Granger_Inventory[[#This Row],[final_det]]+Granger_Inventory[[#This Row],[final_res]]</f>
        <v>0</v>
      </c>
      <c r="CC665">
        <f>Granger_Inventory[[#This Row],[final_land]]+Granger_Inventory[[#This Row],[final_imp]]+Granger_Inventory[[#This Row],[crop_value]]</f>
        <v>53300</v>
      </c>
      <c r="CE665" t="str">
        <f t="shared" si="11"/>
        <v>update valuation set market_land =53300, market_bldg=0, market_total =53300, market_mdno =402, market_date ='9/10/2023' where link_id = (select link_id from parcel where parcel_year = '2024' and parcel_id = '21101641597');</v>
      </c>
    </row>
    <row r="666" spans="1:83" x14ac:dyDescent="0.25">
      <c r="A666">
        <v>21101641599</v>
      </c>
      <c r="B666">
        <v>0.33</v>
      </c>
      <c r="C666" t="s">
        <v>137</v>
      </c>
      <c r="D666" t="s">
        <v>137</v>
      </c>
      <c r="E666" t="s">
        <v>54</v>
      </c>
      <c r="F666" t="s">
        <v>54</v>
      </c>
      <c r="G666">
        <v>3</v>
      </c>
      <c r="H666" t="s">
        <v>55</v>
      </c>
      <c r="I666" t="s">
        <v>137</v>
      </c>
      <c r="J666" t="s">
        <v>137</v>
      </c>
      <c r="K666">
        <v>0.33</v>
      </c>
      <c r="L666">
        <f>IF(Granger_Inventory[[#This Row],[parcel_acres]]-Granger_Inventory[[#This Row],[non_valued_acres]] =0,0,LN(Granger_Inventory[[#This Row],[parcel_acres]]-Granger_Inventory[[#This Row],[non_valued_acres]]))</f>
        <v>-1.1086626245216111</v>
      </c>
      <c r="M666">
        <v>0</v>
      </c>
      <c r="N666">
        <v>0</v>
      </c>
      <c r="O666">
        <v>0</v>
      </c>
      <c r="P666">
        <v>47108.068500000001</v>
      </c>
      <c r="Q666">
        <v>122298</v>
      </c>
      <c r="R666">
        <f>(Granger_Inventory[[#This Row],[ln_acres]]*Granger_Inventory[[#This Row],[coeff]])+Granger_Inventory[[#This Row],[const]]</f>
        <v>70071.045140646165</v>
      </c>
      <c r="AY666">
        <v>0</v>
      </c>
      <c r="AZ666">
        <v>0</v>
      </c>
      <c r="BE666">
        <v>0</v>
      </c>
      <c r="BF666">
        <v>15000</v>
      </c>
      <c r="BG666">
        <v>0</v>
      </c>
      <c r="BH666" s="8">
        <f>Granger_Inventory[[#This Row],[land_extract]]*Lookups!$B$3</f>
        <v>41743.479778473251</v>
      </c>
      <c r="BI666" s="8">
        <f>IF(Granger_Inventory[[#This Row],[bldg_style]]="",0,Lookups!$B$2)</f>
        <v>0</v>
      </c>
      <c r="BJ666" s="8">
        <f>_xlfn.IFNA(VLOOKUP(Granger_Inventory[[#This Row],[quality]],Lookups!$H$2:$J$14,3,FALSE),0)</f>
        <v>0</v>
      </c>
      <c r="BK666" s="8">
        <f>_xlfn.IFNA(VLOOKUP(Granger_Inventory[[#This Row],[condition]],Lookups!$H$17:$J$24,3,FALSE),0)</f>
        <v>0</v>
      </c>
      <c r="BL666" s="8">
        <f>Granger_Inventory[[#This Row],[Age]]*Lookups!$B$16</f>
        <v>0</v>
      </c>
      <c r="BM666" s="8">
        <f>Granger_Inventory[[#This Row],[living_area]]*Lookups!$B$17</f>
        <v>0</v>
      </c>
      <c r="BN666" s="8">
        <f>(Granger_Inventory[[#This Row],[att_gar]]+Granger_Inventory[[#This Row],[blt_gar]])*Lookups!$B$18</f>
        <v>0</v>
      </c>
      <c r="BO666" s="8">
        <f>Granger_Inventory[[#This Row],[Patio]]*Lookups!$B$19</f>
        <v>0</v>
      </c>
      <c r="BP666" s="8">
        <f>SUM(Granger_Inventory[[#This Row],[Intercept]:[Patio_Value]])*Granger_Inventory[[#This Row],[res_pct]]</f>
        <v>0</v>
      </c>
      <c r="BQ666" s="8">
        <f>Granger_Inventory[[#This Row],[land_value]]</f>
        <v>41743.479778473251</v>
      </c>
      <c r="BR666" s="4">
        <f>_xlfn.IFNA(VLOOKUP(Granger_Inventory[[#This Row],[quality]],Lookups!$A$25:$C$35,3,FALSE),1)</f>
        <v>1</v>
      </c>
      <c r="BS666" s="4">
        <f>_xlfn.IFNA(VLOOKUP(Granger_Inventory[[#This Row],[condition]],Lookups!$A$38:$C$45,3,FALSE),1)</f>
        <v>1</v>
      </c>
      <c r="BT666" s="4">
        <f>IF(Granger_Inventory[[#This Row],[decade]]="",1,_xlfn.IFNA(VLOOKUP(Granger_Inventory[[#This Row],[decade]],Lookups!$G$28:$I$42,3,FALSE),1))</f>
        <v>1</v>
      </c>
      <c r="BU666" s="4">
        <f>_xlfn.IFNA(VLOOKUP(Granger_Inventory[[#This Row],[living_area_range]],Lookups!$A$48:$C$57,3,FALSE),1)</f>
        <v>1</v>
      </c>
      <c r="BV666" s="4">
        <f>AVERAGE(Granger_Inventory[[#This Row],[qual_adj]:[living_range_adj]])</f>
        <v>1</v>
      </c>
      <c r="BW666" s="8">
        <f>(Granger_Inventory[[#This Row],[sum_land]]-IF(Granger_Inventory[[#This Row],[no_utilities]]=1,12000,0))/IF(Granger_Inventory[[#This Row],[unbuildable]]=1,2,1)</f>
        <v>41743.479778473251</v>
      </c>
      <c r="BX666" s="8">
        <f>Granger_Inventory[[#This Row],[pre_res]]*Granger_Inventory[[#This Row],[overall_adj]]</f>
        <v>0</v>
      </c>
      <c r="BY666">
        <f>IF(ROUND(Granger_Inventory[[#This Row],[adj_land]]*Lookups!$I$45,-2)&lt;Granger_Inventory[[#This Row],[min_land]],Granger_Inventory[[#This Row],[min_land]],ROUND(Granger_Inventory[[#This Row],[adj_land]]*Lookups!$I$45,-2))</f>
        <v>39700</v>
      </c>
      <c r="BZ666">
        <f>ROUND(Granger_Inventory[[#This Row],[detatched_value]]*Lookups!$I$45,-2)</f>
        <v>0</v>
      </c>
      <c r="CA66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6">
        <f>Granger_Inventory[[#This Row],[final_det]]+Granger_Inventory[[#This Row],[final_res]]</f>
        <v>0</v>
      </c>
      <c r="CC666">
        <f>Granger_Inventory[[#This Row],[final_land]]+Granger_Inventory[[#This Row],[final_imp]]+Granger_Inventory[[#This Row],[crop_value]]</f>
        <v>39700</v>
      </c>
      <c r="CE666" t="str">
        <f t="shared" si="11"/>
        <v>update valuation set market_land =39700, market_bldg=0, market_total =39700, market_mdno =402, market_date ='9/10/2023' where link_id = (select link_id from parcel where parcel_year = '2024' and parcel_id = '21101641599');</v>
      </c>
    </row>
    <row r="667" spans="1:83" x14ac:dyDescent="0.25">
      <c r="A667">
        <v>21101641600</v>
      </c>
      <c r="B667">
        <v>0.22</v>
      </c>
      <c r="C667" t="s">
        <v>137</v>
      </c>
      <c r="D667" t="s">
        <v>137</v>
      </c>
      <c r="E667" t="s">
        <v>54</v>
      </c>
      <c r="F667" t="s">
        <v>54</v>
      </c>
      <c r="G667">
        <v>3</v>
      </c>
      <c r="H667" t="s">
        <v>55</v>
      </c>
      <c r="I667" t="s">
        <v>137</v>
      </c>
      <c r="J667" t="s">
        <v>137</v>
      </c>
      <c r="K667">
        <v>0.22</v>
      </c>
      <c r="L667">
        <f>IF(Granger_Inventory[[#This Row],[parcel_acres]]-Granger_Inventory[[#This Row],[non_valued_acres]] =0,0,LN(Granger_Inventory[[#This Row],[parcel_acres]]-Granger_Inventory[[#This Row],[non_valued_acres]]))</f>
        <v>-1.5141277326297755</v>
      </c>
      <c r="M667">
        <v>0</v>
      </c>
      <c r="N667">
        <v>0</v>
      </c>
      <c r="O667">
        <v>0</v>
      </c>
      <c r="P667">
        <v>47108.068500000001</v>
      </c>
      <c r="Q667">
        <v>122298</v>
      </c>
      <c r="R667">
        <f>(Granger_Inventory[[#This Row],[ln_acres]]*Granger_Inventory[[#This Row],[coeff]])+Granger_Inventory[[#This Row],[const]]</f>
        <v>50970.367053526847</v>
      </c>
      <c r="AY667">
        <v>0</v>
      </c>
      <c r="AZ667">
        <v>0</v>
      </c>
      <c r="BE667">
        <v>0</v>
      </c>
      <c r="BF667">
        <v>15000</v>
      </c>
      <c r="BG667">
        <v>0</v>
      </c>
      <c r="BH667" s="8">
        <f>Granger_Inventory[[#This Row],[land_extract]]*Lookups!$B$3</f>
        <v>30364.617541091193</v>
      </c>
      <c r="BI667" s="8">
        <f>IF(Granger_Inventory[[#This Row],[bldg_style]]="",0,Lookups!$B$2)</f>
        <v>0</v>
      </c>
      <c r="BJ667" s="8">
        <f>_xlfn.IFNA(VLOOKUP(Granger_Inventory[[#This Row],[quality]],Lookups!$H$2:$J$14,3,FALSE),0)</f>
        <v>0</v>
      </c>
      <c r="BK667" s="8">
        <f>_xlfn.IFNA(VLOOKUP(Granger_Inventory[[#This Row],[condition]],Lookups!$H$17:$J$24,3,FALSE),0)</f>
        <v>0</v>
      </c>
      <c r="BL667" s="8">
        <f>Granger_Inventory[[#This Row],[Age]]*Lookups!$B$16</f>
        <v>0</v>
      </c>
      <c r="BM667" s="8">
        <f>Granger_Inventory[[#This Row],[living_area]]*Lookups!$B$17</f>
        <v>0</v>
      </c>
      <c r="BN667" s="8">
        <f>(Granger_Inventory[[#This Row],[att_gar]]+Granger_Inventory[[#This Row],[blt_gar]])*Lookups!$B$18</f>
        <v>0</v>
      </c>
      <c r="BO667" s="8">
        <f>Granger_Inventory[[#This Row],[Patio]]*Lookups!$B$19</f>
        <v>0</v>
      </c>
      <c r="BP667" s="8">
        <f>SUM(Granger_Inventory[[#This Row],[Intercept]:[Patio_Value]])*Granger_Inventory[[#This Row],[res_pct]]</f>
        <v>0</v>
      </c>
      <c r="BQ667" s="8">
        <f>Granger_Inventory[[#This Row],[land_value]]</f>
        <v>30364.617541091193</v>
      </c>
      <c r="BR667" s="4">
        <f>_xlfn.IFNA(VLOOKUP(Granger_Inventory[[#This Row],[quality]],Lookups!$A$25:$C$35,3,FALSE),1)</f>
        <v>1</v>
      </c>
      <c r="BS667" s="4">
        <f>_xlfn.IFNA(VLOOKUP(Granger_Inventory[[#This Row],[condition]],Lookups!$A$38:$C$45,3,FALSE),1)</f>
        <v>1</v>
      </c>
      <c r="BT667" s="4">
        <f>IF(Granger_Inventory[[#This Row],[decade]]="",1,_xlfn.IFNA(VLOOKUP(Granger_Inventory[[#This Row],[decade]],Lookups!$G$28:$I$42,3,FALSE),1))</f>
        <v>1</v>
      </c>
      <c r="BU667" s="4">
        <f>_xlfn.IFNA(VLOOKUP(Granger_Inventory[[#This Row],[living_area_range]],Lookups!$A$48:$C$57,3,FALSE),1)</f>
        <v>1</v>
      </c>
      <c r="BV667" s="4">
        <f>AVERAGE(Granger_Inventory[[#This Row],[qual_adj]:[living_range_adj]])</f>
        <v>1</v>
      </c>
      <c r="BW667" s="8">
        <f>(Granger_Inventory[[#This Row],[sum_land]]-IF(Granger_Inventory[[#This Row],[no_utilities]]=1,12000,0))/IF(Granger_Inventory[[#This Row],[unbuildable]]=1,2,1)</f>
        <v>30364.617541091193</v>
      </c>
      <c r="BX667" s="8">
        <f>Granger_Inventory[[#This Row],[pre_res]]*Granger_Inventory[[#This Row],[overall_adj]]</f>
        <v>0</v>
      </c>
      <c r="BY667">
        <f>IF(ROUND(Granger_Inventory[[#This Row],[adj_land]]*Lookups!$I$45,-2)&lt;Granger_Inventory[[#This Row],[min_land]],Granger_Inventory[[#This Row],[min_land]],ROUND(Granger_Inventory[[#This Row],[adj_land]]*Lookups!$I$45,-2))</f>
        <v>28800</v>
      </c>
      <c r="BZ667">
        <f>ROUND(Granger_Inventory[[#This Row],[detatched_value]]*Lookups!$I$45,-2)</f>
        <v>0</v>
      </c>
      <c r="CA66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7">
        <f>Granger_Inventory[[#This Row],[final_det]]+Granger_Inventory[[#This Row],[final_res]]</f>
        <v>0</v>
      </c>
      <c r="CC667">
        <f>Granger_Inventory[[#This Row],[final_land]]+Granger_Inventory[[#This Row],[final_imp]]+Granger_Inventory[[#This Row],[crop_value]]</f>
        <v>28800</v>
      </c>
      <c r="CE667" t="str">
        <f t="shared" si="11"/>
        <v>update valuation set market_land =28800, market_bldg=0, market_total =28800, market_mdno =402, market_date ='9/10/2023' where link_id = (select link_id from parcel where parcel_year = '2024' and parcel_id = '21101641600');</v>
      </c>
    </row>
    <row r="668" spans="1:83" x14ac:dyDescent="0.25">
      <c r="A668">
        <v>21101643403</v>
      </c>
      <c r="B668">
        <v>0.1</v>
      </c>
      <c r="C668">
        <v>4207</v>
      </c>
      <c r="D668" t="s">
        <v>137</v>
      </c>
      <c r="E668" t="s">
        <v>54</v>
      </c>
      <c r="F668" t="s">
        <v>54</v>
      </c>
      <c r="G668">
        <v>3</v>
      </c>
      <c r="H668" t="s">
        <v>55</v>
      </c>
      <c r="I668">
        <v>0</v>
      </c>
      <c r="J668">
        <v>2500</v>
      </c>
      <c r="K668">
        <v>0.1</v>
      </c>
      <c r="L668">
        <f>IF(Granger_Inventory[[#This Row],[parcel_acres]]-Granger_Inventory[[#This Row],[non_valued_acres]] =0,0,LN(Granger_Inventory[[#This Row],[parcel_acres]]-Granger_Inventory[[#This Row],[non_valued_acres]]))</f>
        <v>-2.3025850929940455</v>
      </c>
      <c r="M668">
        <v>0</v>
      </c>
      <c r="N668">
        <v>0</v>
      </c>
      <c r="O668">
        <v>0</v>
      </c>
      <c r="P668">
        <v>47108.068500000001</v>
      </c>
      <c r="Q668">
        <v>122298</v>
      </c>
      <c r="R668">
        <f>(Granger_Inventory[[#This Row],[ln_acres]]*Granger_Inventory[[#This Row],[coeff]])+Granger_Inventory[[#This Row],[const]]</f>
        <v>13827.663712157635</v>
      </c>
      <c r="AY668">
        <v>0</v>
      </c>
      <c r="AZ668">
        <v>0</v>
      </c>
      <c r="BE668">
        <v>0</v>
      </c>
      <c r="BF668">
        <v>15000</v>
      </c>
      <c r="BG668">
        <v>0</v>
      </c>
      <c r="BH668" s="8">
        <f>Granger_Inventory[[#This Row],[land_extract]]*Lookups!$B$3</f>
        <v>8237.5651653746372</v>
      </c>
      <c r="BI668" s="8">
        <f>IF(Granger_Inventory[[#This Row],[bldg_style]]="",0,Lookups!$B$2)</f>
        <v>0</v>
      </c>
      <c r="BJ668" s="8">
        <f>_xlfn.IFNA(VLOOKUP(Granger_Inventory[[#This Row],[quality]],Lookups!$H$2:$J$14,3,FALSE),0)</f>
        <v>0</v>
      </c>
      <c r="BK668" s="8">
        <f>_xlfn.IFNA(VLOOKUP(Granger_Inventory[[#This Row],[condition]],Lookups!$H$17:$J$24,3,FALSE),0)</f>
        <v>0</v>
      </c>
      <c r="BL668" s="8">
        <f>Granger_Inventory[[#This Row],[Age]]*Lookups!$B$16</f>
        <v>0</v>
      </c>
      <c r="BM668" s="8">
        <f>Granger_Inventory[[#This Row],[living_area]]*Lookups!$B$17</f>
        <v>0</v>
      </c>
      <c r="BN668" s="8">
        <f>(Granger_Inventory[[#This Row],[att_gar]]+Granger_Inventory[[#This Row],[blt_gar]])*Lookups!$B$18</f>
        <v>0</v>
      </c>
      <c r="BO668" s="8">
        <f>Granger_Inventory[[#This Row],[Patio]]*Lookups!$B$19</f>
        <v>0</v>
      </c>
      <c r="BP668" s="8">
        <f>SUM(Granger_Inventory[[#This Row],[Intercept]:[Patio_Value]])*Granger_Inventory[[#This Row],[res_pct]]</f>
        <v>0</v>
      </c>
      <c r="BQ668" s="8">
        <f>Granger_Inventory[[#This Row],[land_value]]</f>
        <v>8237.5651653746372</v>
      </c>
      <c r="BR668" s="4">
        <f>_xlfn.IFNA(VLOOKUP(Granger_Inventory[[#This Row],[quality]],Lookups!$A$25:$C$35,3,FALSE),1)</f>
        <v>1</v>
      </c>
      <c r="BS668" s="4">
        <f>_xlfn.IFNA(VLOOKUP(Granger_Inventory[[#This Row],[condition]],Lookups!$A$38:$C$45,3,FALSE),1)</f>
        <v>1</v>
      </c>
      <c r="BT668" s="4">
        <f>IF(Granger_Inventory[[#This Row],[decade]]="",1,_xlfn.IFNA(VLOOKUP(Granger_Inventory[[#This Row],[decade]],Lookups!$G$28:$I$42,3,FALSE),1))</f>
        <v>1</v>
      </c>
      <c r="BU668" s="4">
        <f>_xlfn.IFNA(VLOOKUP(Granger_Inventory[[#This Row],[living_area_range]],Lookups!$A$48:$C$57,3,FALSE),1)</f>
        <v>1</v>
      </c>
      <c r="BV668" s="4">
        <f>AVERAGE(Granger_Inventory[[#This Row],[qual_adj]:[living_range_adj]])</f>
        <v>1</v>
      </c>
      <c r="BW668" s="8">
        <f>(Granger_Inventory[[#This Row],[sum_land]]-IF(Granger_Inventory[[#This Row],[no_utilities]]=1,12000,0))/IF(Granger_Inventory[[#This Row],[unbuildable]]=1,2,1)</f>
        <v>8237.5651653746372</v>
      </c>
      <c r="BX668" s="8">
        <f>Granger_Inventory[[#This Row],[pre_res]]*Granger_Inventory[[#This Row],[overall_adj]]</f>
        <v>0</v>
      </c>
      <c r="BY668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668">
        <f>ROUND(Granger_Inventory[[#This Row],[detatched_value]]*Lookups!$I$45,-2)</f>
        <v>0</v>
      </c>
      <c r="CA66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8">
        <f>Granger_Inventory[[#This Row],[final_det]]+Granger_Inventory[[#This Row],[final_res]]</f>
        <v>0</v>
      </c>
      <c r="CC668">
        <f>Granger_Inventory[[#This Row],[final_land]]+Granger_Inventory[[#This Row],[final_imp]]+Granger_Inventory[[#This Row],[crop_value]]</f>
        <v>15000</v>
      </c>
      <c r="CE668" t="str">
        <f t="shared" si="11"/>
        <v>update valuation set market_land =15000, market_bldg=0, market_total =15000, market_mdno =402, market_date ='9/10/2023' where link_id = (select link_id from parcel where parcel_year = '2024' and parcel_id = '21101643403');</v>
      </c>
    </row>
    <row r="669" spans="1:83" x14ac:dyDescent="0.25">
      <c r="A669">
        <v>21101643405</v>
      </c>
      <c r="B669">
        <v>0.18</v>
      </c>
      <c r="C669">
        <v>7897</v>
      </c>
      <c r="D669" t="s">
        <v>137</v>
      </c>
      <c r="E669" t="s">
        <v>54</v>
      </c>
      <c r="F669" t="s">
        <v>54</v>
      </c>
      <c r="G669">
        <v>3</v>
      </c>
      <c r="H669" t="s">
        <v>55</v>
      </c>
      <c r="I669">
        <v>4700</v>
      </c>
      <c r="J669">
        <v>26800</v>
      </c>
      <c r="K669">
        <v>0.18</v>
      </c>
      <c r="L669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669">
        <v>0</v>
      </c>
      <c r="N669">
        <v>0</v>
      </c>
      <c r="O669">
        <v>0</v>
      </c>
      <c r="P669">
        <v>47108.068500000001</v>
      </c>
      <c r="Q669">
        <v>122298</v>
      </c>
      <c r="R669">
        <f>(Granger_Inventory[[#This Row],[ln_acres]]*Granger_Inventory[[#This Row],[coeff]])+Granger_Inventory[[#This Row],[const]]</f>
        <v>41517.1581857532</v>
      </c>
      <c r="AY669">
        <v>0</v>
      </c>
      <c r="AZ669">
        <v>5000</v>
      </c>
      <c r="BE669">
        <v>0</v>
      </c>
      <c r="BF669">
        <v>15000</v>
      </c>
      <c r="BG669">
        <v>0</v>
      </c>
      <c r="BH669" s="8">
        <f>Granger_Inventory[[#This Row],[land_extract]]*Lookups!$B$3</f>
        <v>24733.049859725303</v>
      </c>
      <c r="BI669" s="8">
        <f>IF(Granger_Inventory[[#This Row],[bldg_style]]="",0,Lookups!$B$2)</f>
        <v>0</v>
      </c>
      <c r="BJ669" s="8">
        <f>_xlfn.IFNA(VLOOKUP(Granger_Inventory[[#This Row],[quality]],Lookups!$H$2:$J$14,3,FALSE),0)</f>
        <v>0</v>
      </c>
      <c r="BK669" s="8">
        <f>_xlfn.IFNA(VLOOKUP(Granger_Inventory[[#This Row],[condition]],Lookups!$H$17:$J$24,3,FALSE),0)</f>
        <v>0</v>
      </c>
      <c r="BL669" s="8">
        <f>Granger_Inventory[[#This Row],[Age]]*Lookups!$B$16</f>
        <v>0</v>
      </c>
      <c r="BM669" s="8">
        <f>Granger_Inventory[[#This Row],[living_area]]*Lookups!$B$17</f>
        <v>0</v>
      </c>
      <c r="BN669" s="8">
        <f>(Granger_Inventory[[#This Row],[att_gar]]+Granger_Inventory[[#This Row],[blt_gar]])*Lookups!$B$18</f>
        <v>0</v>
      </c>
      <c r="BO669" s="8">
        <f>Granger_Inventory[[#This Row],[Patio]]*Lookups!$B$19</f>
        <v>0</v>
      </c>
      <c r="BP669" s="8">
        <f>SUM(Granger_Inventory[[#This Row],[Intercept]:[Patio_Value]])*Granger_Inventory[[#This Row],[res_pct]]</f>
        <v>0</v>
      </c>
      <c r="BQ669" s="8">
        <f>Granger_Inventory[[#This Row],[land_value]]</f>
        <v>24733.049859725303</v>
      </c>
      <c r="BR669" s="4">
        <f>_xlfn.IFNA(VLOOKUP(Granger_Inventory[[#This Row],[quality]],Lookups!$A$25:$C$35,3,FALSE),1)</f>
        <v>1</v>
      </c>
      <c r="BS669" s="4">
        <f>_xlfn.IFNA(VLOOKUP(Granger_Inventory[[#This Row],[condition]],Lookups!$A$38:$C$45,3,FALSE),1)</f>
        <v>1</v>
      </c>
      <c r="BT669" s="4">
        <f>IF(Granger_Inventory[[#This Row],[decade]]="",1,_xlfn.IFNA(VLOOKUP(Granger_Inventory[[#This Row],[decade]],Lookups!$G$28:$I$42,3,FALSE),1))</f>
        <v>1</v>
      </c>
      <c r="BU669" s="4">
        <f>_xlfn.IFNA(VLOOKUP(Granger_Inventory[[#This Row],[living_area_range]],Lookups!$A$48:$C$57,3,FALSE),1)</f>
        <v>1</v>
      </c>
      <c r="BV669" s="4">
        <f>AVERAGE(Granger_Inventory[[#This Row],[qual_adj]:[living_range_adj]])</f>
        <v>1</v>
      </c>
      <c r="BW669" s="8">
        <f>(Granger_Inventory[[#This Row],[sum_land]]-IF(Granger_Inventory[[#This Row],[no_utilities]]=1,12000,0))/IF(Granger_Inventory[[#This Row],[unbuildable]]=1,2,1)</f>
        <v>24733.049859725303</v>
      </c>
      <c r="BX669" s="8">
        <f>Granger_Inventory[[#This Row],[pre_res]]*Granger_Inventory[[#This Row],[overall_adj]]</f>
        <v>0</v>
      </c>
      <c r="BY669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669">
        <f>ROUND(Granger_Inventory[[#This Row],[detatched_value]]*Lookups!$I$45,-2)</f>
        <v>4800</v>
      </c>
      <c r="CA66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69">
        <f>Granger_Inventory[[#This Row],[final_det]]+Granger_Inventory[[#This Row],[final_res]]</f>
        <v>4800</v>
      </c>
      <c r="CC669">
        <f>Granger_Inventory[[#This Row],[final_land]]+Granger_Inventory[[#This Row],[final_imp]]+Granger_Inventory[[#This Row],[crop_value]]</f>
        <v>28300</v>
      </c>
      <c r="CE669" t="str">
        <f t="shared" si="11"/>
        <v>update valuation set market_land =23500, market_bldg=4800, market_total =28300, market_mdno =402, market_date ='9/10/2023' where link_id = (select link_id from parcel where parcel_year = '2024' and parcel_id = '21101643405');</v>
      </c>
    </row>
    <row r="670" spans="1:83" x14ac:dyDescent="0.25">
      <c r="A670">
        <v>21101643406</v>
      </c>
      <c r="B670">
        <v>0.19</v>
      </c>
      <c r="C670">
        <v>8210</v>
      </c>
      <c r="D670" t="s">
        <v>137</v>
      </c>
      <c r="E670" t="s">
        <v>54</v>
      </c>
      <c r="F670" t="s">
        <v>54</v>
      </c>
      <c r="G670">
        <v>3</v>
      </c>
      <c r="H670" t="s">
        <v>55</v>
      </c>
      <c r="I670">
        <v>0</v>
      </c>
      <c r="J670">
        <v>3500</v>
      </c>
      <c r="K670">
        <v>0.19</v>
      </c>
      <c r="L670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670">
        <v>0</v>
      </c>
      <c r="N670">
        <v>0</v>
      </c>
      <c r="O670">
        <v>0</v>
      </c>
      <c r="P670">
        <v>47108.068500000001</v>
      </c>
      <c r="Q670">
        <v>122298</v>
      </c>
      <c r="R670">
        <f>(Granger_Inventory[[#This Row],[ln_acres]]*Granger_Inventory[[#This Row],[coeff]])+Granger_Inventory[[#This Row],[const]]</f>
        <v>44064.160548957996</v>
      </c>
      <c r="AY670">
        <v>0</v>
      </c>
      <c r="AZ670">
        <v>0</v>
      </c>
      <c r="BE670">
        <v>0</v>
      </c>
      <c r="BF670">
        <v>15000</v>
      </c>
      <c r="BG670">
        <v>0</v>
      </c>
      <c r="BH670" s="8">
        <f>Granger_Inventory[[#This Row],[land_extract]]*Lookups!$B$3</f>
        <v>26250.377615159185</v>
      </c>
      <c r="BI670" s="8">
        <f>IF(Granger_Inventory[[#This Row],[bldg_style]]="",0,Lookups!$B$2)</f>
        <v>0</v>
      </c>
      <c r="BJ670" s="8">
        <f>_xlfn.IFNA(VLOOKUP(Granger_Inventory[[#This Row],[quality]],Lookups!$H$2:$J$14,3,FALSE),0)</f>
        <v>0</v>
      </c>
      <c r="BK670" s="8">
        <f>_xlfn.IFNA(VLOOKUP(Granger_Inventory[[#This Row],[condition]],Lookups!$H$17:$J$24,3,FALSE),0)</f>
        <v>0</v>
      </c>
      <c r="BL670" s="8">
        <f>Granger_Inventory[[#This Row],[Age]]*Lookups!$B$16</f>
        <v>0</v>
      </c>
      <c r="BM670" s="8">
        <f>Granger_Inventory[[#This Row],[living_area]]*Lookups!$B$17</f>
        <v>0</v>
      </c>
      <c r="BN670" s="8">
        <f>(Granger_Inventory[[#This Row],[att_gar]]+Granger_Inventory[[#This Row],[blt_gar]])*Lookups!$B$18</f>
        <v>0</v>
      </c>
      <c r="BO670" s="8">
        <f>Granger_Inventory[[#This Row],[Patio]]*Lookups!$B$19</f>
        <v>0</v>
      </c>
      <c r="BP670" s="8">
        <f>SUM(Granger_Inventory[[#This Row],[Intercept]:[Patio_Value]])*Granger_Inventory[[#This Row],[res_pct]]</f>
        <v>0</v>
      </c>
      <c r="BQ670" s="8">
        <f>Granger_Inventory[[#This Row],[land_value]]</f>
        <v>26250.377615159185</v>
      </c>
      <c r="BR670" s="4">
        <f>_xlfn.IFNA(VLOOKUP(Granger_Inventory[[#This Row],[quality]],Lookups!$A$25:$C$35,3,FALSE),1)</f>
        <v>1</v>
      </c>
      <c r="BS670" s="4">
        <f>_xlfn.IFNA(VLOOKUP(Granger_Inventory[[#This Row],[condition]],Lookups!$A$38:$C$45,3,FALSE),1)</f>
        <v>1</v>
      </c>
      <c r="BT670" s="4">
        <f>IF(Granger_Inventory[[#This Row],[decade]]="",1,_xlfn.IFNA(VLOOKUP(Granger_Inventory[[#This Row],[decade]],Lookups!$G$28:$I$42,3,FALSE),1))</f>
        <v>1</v>
      </c>
      <c r="BU670" s="4">
        <f>_xlfn.IFNA(VLOOKUP(Granger_Inventory[[#This Row],[living_area_range]],Lookups!$A$48:$C$57,3,FALSE),1)</f>
        <v>1</v>
      </c>
      <c r="BV670" s="4">
        <f>AVERAGE(Granger_Inventory[[#This Row],[qual_adj]:[living_range_adj]])</f>
        <v>1</v>
      </c>
      <c r="BW670" s="8">
        <f>(Granger_Inventory[[#This Row],[sum_land]]-IF(Granger_Inventory[[#This Row],[no_utilities]]=1,12000,0))/IF(Granger_Inventory[[#This Row],[unbuildable]]=1,2,1)</f>
        <v>26250.377615159185</v>
      </c>
      <c r="BX670" s="8">
        <f>Granger_Inventory[[#This Row],[pre_res]]*Granger_Inventory[[#This Row],[overall_adj]]</f>
        <v>0</v>
      </c>
      <c r="BY670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670">
        <f>ROUND(Granger_Inventory[[#This Row],[detatched_value]]*Lookups!$I$45,-2)</f>
        <v>0</v>
      </c>
      <c r="CA67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0">
        <f>Granger_Inventory[[#This Row],[final_det]]+Granger_Inventory[[#This Row],[final_res]]</f>
        <v>0</v>
      </c>
      <c r="CC670">
        <f>Granger_Inventory[[#This Row],[final_land]]+Granger_Inventory[[#This Row],[final_imp]]+Granger_Inventory[[#This Row],[crop_value]]</f>
        <v>24900</v>
      </c>
      <c r="CE670" t="str">
        <f t="shared" si="11"/>
        <v>update valuation set market_land =24900, market_bldg=0, market_total =24900, market_mdno =402, market_date ='9/10/2023' where link_id = (select link_id from parcel where parcel_year = '2024' and parcel_id = '21101643406');</v>
      </c>
    </row>
    <row r="671" spans="1:83" x14ac:dyDescent="0.25">
      <c r="A671">
        <v>21101643411</v>
      </c>
      <c r="B671">
        <v>0.35</v>
      </c>
      <c r="C671">
        <v>15252</v>
      </c>
      <c r="D671" t="s">
        <v>137</v>
      </c>
      <c r="E671" t="s">
        <v>54</v>
      </c>
      <c r="F671" t="s">
        <v>54</v>
      </c>
      <c r="G671">
        <v>3</v>
      </c>
      <c r="H671" t="s">
        <v>55</v>
      </c>
      <c r="I671">
        <v>19900</v>
      </c>
      <c r="J671">
        <v>30700</v>
      </c>
      <c r="K671">
        <v>0.35</v>
      </c>
      <c r="L671">
        <f>IF(Granger_Inventory[[#This Row],[parcel_acres]]-Granger_Inventory[[#This Row],[non_valued_acres]] =0,0,LN(Granger_Inventory[[#This Row],[parcel_acres]]-Granger_Inventory[[#This Row],[non_valued_acres]]))</f>
        <v>-1.0498221244986778</v>
      </c>
      <c r="M671">
        <v>0</v>
      </c>
      <c r="N671">
        <v>0</v>
      </c>
      <c r="O671">
        <v>0</v>
      </c>
      <c r="P671">
        <v>47108.068500000001</v>
      </c>
      <c r="Q671">
        <v>122298</v>
      </c>
      <c r="R671">
        <f>(Granger_Inventory[[#This Row],[ln_acres]]*Granger_Inventory[[#This Row],[coeff]])+Granger_Inventory[[#This Row],[const]]</f>
        <v>72842.907446300756</v>
      </c>
      <c r="AY671">
        <v>0</v>
      </c>
      <c r="AZ671">
        <v>23300</v>
      </c>
      <c r="BE671">
        <v>0</v>
      </c>
      <c r="BF671">
        <v>15000</v>
      </c>
      <c r="BG671">
        <v>0</v>
      </c>
      <c r="BH671" s="8">
        <f>Granger_Inventory[[#This Row],[land_extract]]*Lookups!$B$3</f>
        <v>43394.763527310708</v>
      </c>
      <c r="BI671" s="8">
        <f>IF(Granger_Inventory[[#This Row],[bldg_style]]="",0,Lookups!$B$2)</f>
        <v>0</v>
      </c>
      <c r="BJ671" s="8">
        <f>_xlfn.IFNA(VLOOKUP(Granger_Inventory[[#This Row],[quality]],Lookups!$H$2:$J$14,3,FALSE),0)</f>
        <v>0</v>
      </c>
      <c r="BK671" s="8">
        <f>_xlfn.IFNA(VLOOKUP(Granger_Inventory[[#This Row],[condition]],Lookups!$H$17:$J$24,3,FALSE),0)</f>
        <v>0</v>
      </c>
      <c r="BL671" s="8">
        <f>Granger_Inventory[[#This Row],[Age]]*Lookups!$B$16</f>
        <v>0</v>
      </c>
      <c r="BM671" s="8">
        <f>Granger_Inventory[[#This Row],[living_area]]*Lookups!$B$17</f>
        <v>0</v>
      </c>
      <c r="BN671" s="8">
        <f>(Granger_Inventory[[#This Row],[att_gar]]+Granger_Inventory[[#This Row],[blt_gar]])*Lookups!$B$18</f>
        <v>0</v>
      </c>
      <c r="BO671" s="8">
        <f>Granger_Inventory[[#This Row],[Patio]]*Lookups!$B$19</f>
        <v>0</v>
      </c>
      <c r="BP671" s="8">
        <f>SUM(Granger_Inventory[[#This Row],[Intercept]:[Patio_Value]])*Granger_Inventory[[#This Row],[res_pct]]</f>
        <v>0</v>
      </c>
      <c r="BQ671" s="8">
        <f>Granger_Inventory[[#This Row],[land_value]]</f>
        <v>43394.763527310708</v>
      </c>
      <c r="BR671" s="4">
        <f>_xlfn.IFNA(VLOOKUP(Granger_Inventory[[#This Row],[quality]],Lookups!$A$25:$C$35,3,FALSE),1)</f>
        <v>1</v>
      </c>
      <c r="BS671" s="4">
        <f>_xlfn.IFNA(VLOOKUP(Granger_Inventory[[#This Row],[condition]],Lookups!$A$38:$C$45,3,FALSE),1)</f>
        <v>1</v>
      </c>
      <c r="BT671" s="4">
        <f>IF(Granger_Inventory[[#This Row],[decade]]="",1,_xlfn.IFNA(VLOOKUP(Granger_Inventory[[#This Row],[decade]],Lookups!$G$28:$I$42,3,FALSE),1))</f>
        <v>1</v>
      </c>
      <c r="BU671" s="4">
        <f>_xlfn.IFNA(VLOOKUP(Granger_Inventory[[#This Row],[living_area_range]],Lookups!$A$48:$C$57,3,FALSE),1)</f>
        <v>1</v>
      </c>
      <c r="BV671" s="4">
        <f>AVERAGE(Granger_Inventory[[#This Row],[qual_adj]:[living_range_adj]])</f>
        <v>1</v>
      </c>
      <c r="BW671" s="8">
        <f>(Granger_Inventory[[#This Row],[sum_land]]-IF(Granger_Inventory[[#This Row],[no_utilities]]=1,12000,0))/IF(Granger_Inventory[[#This Row],[unbuildable]]=1,2,1)</f>
        <v>43394.763527310708</v>
      </c>
      <c r="BX671" s="8">
        <f>Granger_Inventory[[#This Row],[pre_res]]*Granger_Inventory[[#This Row],[overall_adj]]</f>
        <v>0</v>
      </c>
      <c r="BY671">
        <f>IF(ROUND(Granger_Inventory[[#This Row],[adj_land]]*Lookups!$I$45,-2)&lt;Granger_Inventory[[#This Row],[min_land]],Granger_Inventory[[#This Row],[min_land]],ROUND(Granger_Inventory[[#This Row],[adj_land]]*Lookups!$I$45,-2))</f>
        <v>41200</v>
      </c>
      <c r="BZ671">
        <f>ROUND(Granger_Inventory[[#This Row],[detatched_value]]*Lookups!$I$45,-2)</f>
        <v>22100</v>
      </c>
      <c r="CA67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1">
        <f>Granger_Inventory[[#This Row],[final_det]]+Granger_Inventory[[#This Row],[final_res]]</f>
        <v>22100</v>
      </c>
      <c r="CC671">
        <f>Granger_Inventory[[#This Row],[final_land]]+Granger_Inventory[[#This Row],[final_imp]]+Granger_Inventory[[#This Row],[crop_value]]</f>
        <v>63300</v>
      </c>
      <c r="CE671" t="str">
        <f t="shared" si="11"/>
        <v>update valuation set market_land =41200, market_bldg=22100, market_total =63300, market_mdno =402, market_date ='9/10/2023' where link_id = (select link_id from parcel where parcel_year = '2024' and parcel_id = '21101643411');</v>
      </c>
    </row>
    <row r="672" spans="1:83" x14ac:dyDescent="0.25">
      <c r="A672">
        <v>21101643414</v>
      </c>
      <c r="B672">
        <v>0.18</v>
      </c>
      <c r="C672">
        <v>7663</v>
      </c>
      <c r="D672" t="s">
        <v>137</v>
      </c>
      <c r="E672" t="s">
        <v>54</v>
      </c>
      <c r="F672" t="s">
        <v>54</v>
      </c>
      <c r="G672">
        <v>3</v>
      </c>
      <c r="H672" t="s">
        <v>55</v>
      </c>
      <c r="I672">
        <v>10400</v>
      </c>
      <c r="J672">
        <v>26800</v>
      </c>
      <c r="K672">
        <v>0.18</v>
      </c>
      <c r="L672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672">
        <v>0</v>
      </c>
      <c r="N672">
        <v>0</v>
      </c>
      <c r="O672">
        <v>0</v>
      </c>
      <c r="P672">
        <v>47108.068500000001</v>
      </c>
      <c r="Q672">
        <v>122298</v>
      </c>
      <c r="R672">
        <f>(Granger_Inventory[[#This Row],[ln_acres]]*Granger_Inventory[[#This Row],[coeff]])+Granger_Inventory[[#This Row],[const]]</f>
        <v>41517.1581857532</v>
      </c>
      <c r="AY672">
        <v>0</v>
      </c>
      <c r="AZ672">
        <v>12200</v>
      </c>
      <c r="BE672">
        <v>0</v>
      </c>
      <c r="BF672">
        <v>15000</v>
      </c>
      <c r="BG672">
        <v>0</v>
      </c>
      <c r="BH672" s="8">
        <f>Granger_Inventory[[#This Row],[land_extract]]*Lookups!$B$3</f>
        <v>24733.049859725303</v>
      </c>
      <c r="BI672" s="8">
        <f>IF(Granger_Inventory[[#This Row],[bldg_style]]="",0,Lookups!$B$2)</f>
        <v>0</v>
      </c>
      <c r="BJ672" s="8">
        <f>_xlfn.IFNA(VLOOKUP(Granger_Inventory[[#This Row],[quality]],Lookups!$H$2:$J$14,3,FALSE),0)</f>
        <v>0</v>
      </c>
      <c r="BK672" s="8">
        <f>_xlfn.IFNA(VLOOKUP(Granger_Inventory[[#This Row],[condition]],Lookups!$H$17:$J$24,3,FALSE),0)</f>
        <v>0</v>
      </c>
      <c r="BL672" s="8">
        <f>Granger_Inventory[[#This Row],[Age]]*Lookups!$B$16</f>
        <v>0</v>
      </c>
      <c r="BM672" s="8">
        <f>Granger_Inventory[[#This Row],[living_area]]*Lookups!$B$17</f>
        <v>0</v>
      </c>
      <c r="BN672" s="8">
        <f>(Granger_Inventory[[#This Row],[att_gar]]+Granger_Inventory[[#This Row],[blt_gar]])*Lookups!$B$18</f>
        <v>0</v>
      </c>
      <c r="BO672" s="8">
        <f>Granger_Inventory[[#This Row],[Patio]]*Lookups!$B$19</f>
        <v>0</v>
      </c>
      <c r="BP672" s="8">
        <f>SUM(Granger_Inventory[[#This Row],[Intercept]:[Patio_Value]])*Granger_Inventory[[#This Row],[res_pct]]</f>
        <v>0</v>
      </c>
      <c r="BQ672" s="8">
        <f>Granger_Inventory[[#This Row],[land_value]]</f>
        <v>24733.049859725303</v>
      </c>
      <c r="BR672" s="4">
        <f>_xlfn.IFNA(VLOOKUP(Granger_Inventory[[#This Row],[quality]],Lookups!$A$25:$C$35,3,FALSE),1)</f>
        <v>1</v>
      </c>
      <c r="BS672" s="4">
        <f>_xlfn.IFNA(VLOOKUP(Granger_Inventory[[#This Row],[condition]],Lookups!$A$38:$C$45,3,FALSE),1)</f>
        <v>1</v>
      </c>
      <c r="BT672" s="4">
        <f>IF(Granger_Inventory[[#This Row],[decade]]="",1,_xlfn.IFNA(VLOOKUP(Granger_Inventory[[#This Row],[decade]],Lookups!$G$28:$I$42,3,FALSE),1))</f>
        <v>1</v>
      </c>
      <c r="BU672" s="4">
        <f>_xlfn.IFNA(VLOOKUP(Granger_Inventory[[#This Row],[living_area_range]],Lookups!$A$48:$C$57,3,FALSE),1)</f>
        <v>1</v>
      </c>
      <c r="BV672" s="4">
        <f>AVERAGE(Granger_Inventory[[#This Row],[qual_adj]:[living_range_adj]])</f>
        <v>1</v>
      </c>
      <c r="BW672" s="8">
        <f>(Granger_Inventory[[#This Row],[sum_land]]-IF(Granger_Inventory[[#This Row],[no_utilities]]=1,12000,0))/IF(Granger_Inventory[[#This Row],[unbuildable]]=1,2,1)</f>
        <v>24733.049859725303</v>
      </c>
      <c r="BX672" s="8">
        <f>Granger_Inventory[[#This Row],[pre_res]]*Granger_Inventory[[#This Row],[overall_adj]]</f>
        <v>0</v>
      </c>
      <c r="BY672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672">
        <f>ROUND(Granger_Inventory[[#This Row],[detatched_value]]*Lookups!$I$45,-2)</f>
        <v>11600</v>
      </c>
      <c r="CA67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2">
        <f>Granger_Inventory[[#This Row],[final_det]]+Granger_Inventory[[#This Row],[final_res]]</f>
        <v>11600</v>
      </c>
      <c r="CC672">
        <f>Granger_Inventory[[#This Row],[final_land]]+Granger_Inventory[[#This Row],[final_imp]]+Granger_Inventory[[#This Row],[crop_value]]</f>
        <v>35100</v>
      </c>
      <c r="CE672" t="str">
        <f t="shared" si="11"/>
        <v>update valuation set market_land =23500, market_bldg=11600, market_total =35100, market_mdno =402, market_date ='9/10/2023' where link_id = (select link_id from parcel where parcel_year = '2024' and parcel_id = '21101643414');</v>
      </c>
    </row>
    <row r="673" spans="1:83" x14ac:dyDescent="0.25">
      <c r="A673">
        <v>21101643440</v>
      </c>
      <c r="B673">
        <v>0.52</v>
      </c>
      <c r="C673" t="s">
        <v>137</v>
      </c>
      <c r="D673" t="s">
        <v>137</v>
      </c>
      <c r="E673" t="s">
        <v>54</v>
      </c>
      <c r="F673" t="s">
        <v>54</v>
      </c>
      <c r="G673">
        <v>3</v>
      </c>
      <c r="H673" t="s">
        <v>55</v>
      </c>
      <c r="I673" t="s">
        <v>137</v>
      </c>
      <c r="J673" t="s">
        <v>137</v>
      </c>
      <c r="K673">
        <v>0.52</v>
      </c>
      <c r="L673">
        <f>IF(Granger_Inventory[[#This Row],[parcel_acres]]-Granger_Inventory[[#This Row],[non_valued_acres]] =0,0,LN(Granger_Inventory[[#This Row],[parcel_acres]]-Granger_Inventory[[#This Row],[non_valued_acres]]))</f>
        <v>-0.65392646740666394</v>
      </c>
      <c r="M673">
        <v>0</v>
      </c>
      <c r="N673">
        <v>0</v>
      </c>
      <c r="O673">
        <v>0</v>
      </c>
      <c r="P673">
        <v>47108.068500000001</v>
      </c>
      <c r="Q673">
        <v>122298</v>
      </c>
      <c r="R673">
        <f>(Granger_Inventory[[#This Row],[ln_acres]]*Granger_Inventory[[#This Row],[coeff]])+Granger_Inventory[[#This Row],[const]]</f>
        <v>91492.787179443854</v>
      </c>
      <c r="AY673">
        <v>0</v>
      </c>
      <c r="AZ673">
        <v>0</v>
      </c>
      <c r="BE673">
        <v>0</v>
      </c>
      <c r="BF673">
        <v>15000</v>
      </c>
      <c r="BG673">
        <v>0</v>
      </c>
      <c r="BH673" s="8">
        <f>Granger_Inventory[[#This Row],[land_extract]]*Lookups!$B$3</f>
        <v>54505.071300639829</v>
      </c>
      <c r="BI673" s="8">
        <f>IF(Granger_Inventory[[#This Row],[bldg_style]]="",0,Lookups!$B$2)</f>
        <v>0</v>
      </c>
      <c r="BJ673" s="8">
        <f>_xlfn.IFNA(VLOOKUP(Granger_Inventory[[#This Row],[quality]],Lookups!$H$2:$J$14,3,FALSE),0)</f>
        <v>0</v>
      </c>
      <c r="BK673" s="8">
        <f>_xlfn.IFNA(VLOOKUP(Granger_Inventory[[#This Row],[condition]],Lookups!$H$17:$J$24,3,FALSE),0)</f>
        <v>0</v>
      </c>
      <c r="BL673" s="8">
        <f>Granger_Inventory[[#This Row],[Age]]*Lookups!$B$16</f>
        <v>0</v>
      </c>
      <c r="BM673" s="8">
        <f>Granger_Inventory[[#This Row],[living_area]]*Lookups!$B$17</f>
        <v>0</v>
      </c>
      <c r="BN673" s="8">
        <f>(Granger_Inventory[[#This Row],[att_gar]]+Granger_Inventory[[#This Row],[blt_gar]])*Lookups!$B$18</f>
        <v>0</v>
      </c>
      <c r="BO673" s="8">
        <f>Granger_Inventory[[#This Row],[Patio]]*Lookups!$B$19</f>
        <v>0</v>
      </c>
      <c r="BP673" s="8">
        <f>SUM(Granger_Inventory[[#This Row],[Intercept]:[Patio_Value]])*Granger_Inventory[[#This Row],[res_pct]]</f>
        <v>0</v>
      </c>
      <c r="BQ673" s="8">
        <f>Granger_Inventory[[#This Row],[land_value]]</f>
        <v>54505.071300639829</v>
      </c>
      <c r="BR673" s="4">
        <f>_xlfn.IFNA(VLOOKUP(Granger_Inventory[[#This Row],[quality]],Lookups!$A$25:$C$35,3,FALSE),1)</f>
        <v>1</v>
      </c>
      <c r="BS673" s="4">
        <f>_xlfn.IFNA(VLOOKUP(Granger_Inventory[[#This Row],[condition]],Lookups!$A$38:$C$45,3,FALSE),1)</f>
        <v>1</v>
      </c>
      <c r="BT673" s="4">
        <f>IF(Granger_Inventory[[#This Row],[decade]]="",1,_xlfn.IFNA(VLOOKUP(Granger_Inventory[[#This Row],[decade]],Lookups!$G$28:$I$42,3,FALSE),1))</f>
        <v>1</v>
      </c>
      <c r="BU673" s="4">
        <f>_xlfn.IFNA(VLOOKUP(Granger_Inventory[[#This Row],[living_area_range]],Lookups!$A$48:$C$57,3,FALSE),1)</f>
        <v>1</v>
      </c>
      <c r="BV673" s="4">
        <f>AVERAGE(Granger_Inventory[[#This Row],[qual_adj]:[living_range_adj]])</f>
        <v>1</v>
      </c>
      <c r="BW673" s="8">
        <f>(Granger_Inventory[[#This Row],[sum_land]]-IF(Granger_Inventory[[#This Row],[no_utilities]]=1,12000,0))/IF(Granger_Inventory[[#This Row],[unbuildable]]=1,2,1)</f>
        <v>54505.071300639829</v>
      </c>
      <c r="BX673" s="8">
        <f>Granger_Inventory[[#This Row],[pre_res]]*Granger_Inventory[[#This Row],[overall_adj]]</f>
        <v>0</v>
      </c>
      <c r="BY673">
        <f>IF(ROUND(Granger_Inventory[[#This Row],[adj_land]]*Lookups!$I$45,-2)&lt;Granger_Inventory[[#This Row],[min_land]],Granger_Inventory[[#This Row],[min_land]],ROUND(Granger_Inventory[[#This Row],[adj_land]]*Lookups!$I$45,-2))</f>
        <v>51800</v>
      </c>
      <c r="BZ673">
        <f>ROUND(Granger_Inventory[[#This Row],[detatched_value]]*Lookups!$I$45,-2)</f>
        <v>0</v>
      </c>
      <c r="CA67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3">
        <f>Granger_Inventory[[#This Row],[final_det]]+Granger_Inventory[[#This Row],[final_res]]</f>
        <v>0</v>
      </c>
      <c r="CC673">
        <f>Granger_Inventory[[#This Row],[final_land]]+Granger_Inventory[[#This Row],[final_imp]]+Granger_Inventory[[#This Row],[crop_value]]</f>
        <v>51800</v>
      </c>
      <c r="CE673" t="str">
        <f t="shared" si="11"/>
        <v>update valuation set market_land =51800, market_bldg=0, market_total =51800, market_mdno =402, market_date ='9/10/2023' where link_id = (select link_id from parcel where parcel_year = '2024' and parcel_id = '21101643440');</v>
      </c>
    </row>
    <row r="674" spans="1:83" x14ac:dyDescent="0.25">
      <c r="A674">
        <v>21101643441</v>
      </c>
      <c r="B674">
        <v>0.5</v>
      </c>
      <c r="C674" t="s">
        <v>137</v>
      </c>
      <c r="D674" t="s">
        <v>137</v>
      </c>
      <c r="E674" t="s">
        <v>54</v>
      </c>
      <c r="F674" t="s">
        <v>54</v>
      </c>
      <c r="G674">
        <v>3</v>
      </c>
      <c r="H674" t="s">
        <v>55</v>
      </c>
      <c r="I674" t="s">
        <v>137</v>
      </c>
      <c r="J674" t="s">
        <v>137</v>
      </c>
      <c r="K674">
        <v>0.5</v>
      </c>
      <c r="L674">
        <f>IF(Granger_Inventory[[#This Row],[parcel_acres]]-Granger_Inventory[[#This Row],[non_valued_acres]] =0,0,LN(Granger_Inventory[[#This Row],[parcel_acres]]-Granger_Inventory[[#This Row],[non_valued_acres]]))</f>
        <v>-0.69314718055994529</v>
      </c>
      <c r="M674">
        <v>0</v>
      </c>
      <c r="N674">
        <v>0</v>
      </c>
      <c r="O674">
        <v>0</v>
      </c>
      <c r="P674">
        <v>47108.068500000001</v>
      </c>
      <c r="Q674">
        <v>122298</v>
      </c>
      <c r="R674">
        <f>(Granger_Inventory[[#This Row],[ln_acres]]*Granger_Inventory[[#This Row],[coeff]])+Granger_Inventory[[#This Row],[const]]</f>
        <v>89645.175137600221</v>
      </c>
      <c r="AY674">
        <v>0</v>
      </c>
      <c r="AZ674">
        <v>0</v>
      </c>
      <c r="BE674">
        <v>0</v>
      </c>
      <c r="BF674">
        <v>15000</v>
      </c>
      <c r="BG674">
        <v>0</v>
      </c>
      <c r="BH674" s="8">
        <f>Granger_Inventory[[#This Row],[land_extract]]*Lookups!$B$3</f>
        <v>53404.391900862691</v>
      </c>
      <c r="BI674" s="8">
        <f>IF(Granger_Inventory[[#This Row],[bldg_style]]="",0,Lookups!$B$2)</f>
        <v>0</v>
      </c>
      <c r="BJ674" s="8">
        <f>_xlfn.IFNA(VLOOKUP(Granger_Inventory[[#This Row],[quality]],Lookups!$H$2:$J$14,3,FALSE),0)</f>
        <v>0</v>
      </c>
      <c r="BK674" s="8">
        <f>_xlfn.IFNA(VLOOKUP(Granger_Inventory[[#This Row],[condition]],Lookups!$H$17:$J$24,3,FALSE),0)</f>
        <v>0</v>
      </c>
      <c r="BL674" s="8">
        <f>Granger_Inventory[[#This Row],[Age]]*Lookups!$B$16</f>
        <v>0</v>
      </c>
      <c r="BM674" s="8">
        <f>Granger_Inventory[[#This Row],[living_area]]*Lookups!$B$17</f>
        <v>0</v>
      </c>
      <c r="BN674" s="8">
        <f>(Granger_Inventory[[#This Row],[att_gar]]+Granger_Inventory[[#This Row],[blt_gar]])*Lookups!$B$18</f>
        <v>0</v>
      </c>
      <c r="BO674" s="8">
        <f>Granger_Inventory[[#This Row],[Patio]]*Lookups!$B$19</f>
        <v>0</v>
      </c>
      <c r="BP674" s="8">
        <f>SUM(Granger_Inventory[[#This Row],[Intercept]:[Patio_Value]])*Granger_Inventory[[#This Row],[res_pct]]</f>
        <v>0</v>
      </c>
      <c r="BQ674" s="8">
        <f>Granger_Inventory[[#This Row],[land_value]]</f>
        <v>53404.391900862691</v>
      </c>
      <c r="BR674" s="4">
        <f>_xlfn.IFNA(VLOOKUP(Granger_Inventory[[#This Row],[quality]],Lookups!$A$25:$C$35,3,FALSE),1)</f>
        <v>1</v>
      </c>
      <c r="BS674" s="4">
        <f>_xlfn.IFNA(VLOOKUP(Granger_Inventory[[#This Row],[condition]],Lookups!$A$38:$C$45,3,FALSE),1)</f>
        <v>1</v>
      </c>
      <c r="BT674" s="4">
        <f>IF(Granger_Inventory[[#This Row],[decade]]="",1,_xlfn.IFNA(VLOOKUP(Granger_Inventory[[#This Row],[decade]],Lookups!$G$28:$I$42,3,FALSE),1))</f>
        <v>1</v>
      </c>
      <c r="BU674" s="4">
        <f>_xlfn.IFNA(VLOOKUP(Granger_Inventory[[#This Row],[living_area_range]],Lookups!$A$48:$C$57,3,FALSE),1)</f>
        <v>1</v>
      </c>
      <c r="BV674" s="4">
        <f>AVERAGE(Granger_Inventory[[#This Row],[qual_adj]:[living_range_adj]])</f>
        <v>1</v>
      </c>
      <c r="BW674" s="8">
        <f>(Granger_Inventory[[#This Row],[sum_land]]-IF(Granger_Inventory[[#This Row],[no_utilities]]=1,12000,0))/IF(Granger_Inventory[[#This Row],[unbuildable]]=1,2,1)</f>
        <v>53404.391900862691</v>
      </c>
      <c r="BX674" s="8">
        <f>Granger_Inventory[[#This Row],[pre_res]]*Granger_Inventory[[#This Row],[overall_adj]]</f>
        <v>0</v>
      </c>
      <c r="BY674">
        <f>IF(ROUND(Granger_Inventory[[#This Row],[adj_land]]*Lookups!$I$45,-2)&lt;Granger_Inventory[[#This Row],[min_land]],Granger_Inventory[[#This Row],[min_land]],ROUND(Granger_Inventory[[#This Row],[adj_land]]*Lookups!$I$45,-2))</f>
        <v>50700</v>
      </c>
      <c r="BZ674">
        <f>ROUND(Granger_Inventory[[#This Row],[detatched_value]]*Lookups!$I$45,-2)</f>
        <v>0</v>
      </c>
      <c r="CA67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4">
        <f>Granger_Inventory[[#This Row],[final_det]]+Granger_Inventory[[#This Row],[final_res]]</f>
        <v>0</v>
      </c>
      <c r="CC674">
        <f>Granger_Inventory[[#This Row],[final_land]]+Granger_Inventory[[#This Row],[final_imp]]+Granger_Inventory[[#This Row],[crop_value]]</f>
        <v>50700</v>
      </c>
      <c r="CE674" t="str">
        <f t="shared" si="11"/>
        <v>update valuation set market_land =50700, market_bldg=0, market_total =50700, market_mdno =402, market_date ='9/10/2023' where link_id = (select link_id from parcel where parcel_year = '2024' and parcel_id = '21101643441');</v>
      </c>
    </row>
    <row r="675" spans="1:83" x14ac:dyDescent="0.25">
      <c r="A675">
        <v>21101644464</v>
      </c>
      <c r="B675">
        <v>0.17</v>
      </c>
      <c r="C675">
        <v>7557</v>
      </c>
      <c r="D675" t="s">
        <v>137</v>
      </c>
      <c r="E675" t="s">
        <v>54</v>
      </c>
      <c r="F675" t="s">
        <v>54</v>
      </c>
      <c r="G675">
        <v>3</v>
      </c>
      <c r="H675" t="s">
        <v>55</v>
      </c>
      <c r="I675">
        <v>0</v>
      </c>
      <c r="J675">
        <v>26500</v>
      </c>
      <c r="K675">
        <v>0.17</v>
      </c>
      <c r="L675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675">
        <v>0</v>
      </c>
      <c r="N675">
        <v>0</v>
      </c>
      <c r="O675">
        <v>0</v>
      </c>
      <c r="P675">
        <v>47108.068500000001</v>
      </c>
      <c r="Q675">
        <v>122298</v>
      </c>
      <c r="R675">
        <f>(Granger_Inventory[[#This Row],[ln_acres]]*Granger_Inventory[[#This Row],[coeff]])+Granger_Inventory[[#This Row],[const]]</f>
        <v>38824.535711229546</v>
      </c>
      <c r="AY675">
        <v>0</v>
      </c>
      <c r="AZ675">
        <v>0</v>
      </c>
      <c r="BE675">
        <v>0</v>
      </c>
      <c r="BF675">
        <v>15000</v>
      </c>
      <c r="BG675">
        <v>0</v>
      </c>
      <c r="BH675" s="8">
        <f>Granger_Inventory[[#This Row],[land_extract]]*Lookups!$B$3</f>
        <v>23128.971718879347</v>
      </c>
      <c r="BI675" s="8">
        <f>IF(Granger_Inventory[[#This Row],[bldg_style]]="",0,Lookups!$B$2)</f>
        <v>0</v>
      </c>
      <c r="BJ675" s="8">
        <f>_xlfn.IFNA(VLOOKUP(Granger_Inventory[[#This Row],[quality]],Lookups!$H$2:$J$14,3,FALSE),0)</f>
        <v>0</v>
      </c>
      <c r="BK675" s="8">
        <f>_xlfn.IFNA(VLOOKUP(Granger_Inventory[[#This Row],[condition]],Lookups!$H$17:$J$24,3,FALSE),0)</f>
        <v>0</v>
      </c>
      <c r="BL675" s="8">
        <f>Granger_Inventory[[#This Row],[Age]]*Lookups!$B$16</f>
        <v>0</v>
      </c>
      <c r="BM675" s="8">
        <f>Granger_Inventory[[#This Row],[living_area]]*Lookups!$B$17</f>
        <v>0</v>
      </c>
      <c r="BN675" s="8">
        <f>(Granger_Inventory[[#This Row],[att_gar]]+Granger_Inventory[[#This Row],[blt_gar]])*Lookups!$B$18</f>
        <v>0</v>
      </c>
      <c r="BO675" s="8">
        <f>Granger_Inventory[[#This Row],[Patio]]*Lookups!$B$19</f>
        <v>0</v>
      </c>
      <c r="BP675" s="8">
        <f>SUM(Granger_Inventory[[#This Row],[Intercept]:[Patio_Value]])*Granger_Inventory[[#This Row],[res_pct]]</f>
        <v>0</v>
      </c>
      <c r="BQ675" s="8">
        <f>Granger_Inventory[[#This Row],[land_value]]</f>
        <v>23128.971718879347</v>
      </c>
      <c r="BR675" s="4">
        <f>_xlfn.IFNA(VLOOKUP(Granger_Inventory[[#This Row],[quality]],Lookups!$A$25:$C$35,3,FALSE),1)</f>
        <v>1</v>
      </c>
      <c r="BS675" s="4">
        <f>_xlfn.IFNA(VLOOKUP(Granger_Inventory[[#This Row],[condition]],Lookups!$A$38:$C$45,3,FALSE),1)</f>
        <v>1</v>
      </c>
      <c r="BT675" s="4">
        <f>IF(Granger_Inventory[[#This Row],[decade]]="",1,_xlfn.IFNA(VLOOKUP(Granger_Inventory[[#This Row],[decade]],Lookups!$G$28:$I$42,3,FALSE),1))</f>
        <v>1</v>
      </c>
      <c r="BU675" s="4">
        <f>_xlfn.IFNA(VLOOKUP(Granger_Inventory[[#This Row],[living_area_range]],Lookups!$A$48:$C$57,3,FALSE),1)</f>
        <v>1</v>
      </c>
      <c r="BV675" s="4">
        <f>AVERAGE(Granger_Inventory[[#This Row],[qual_adj]:[living_range_adj]])</f>
        <v>1</v>
      </c>
      <c r="BW675" s="8">
        <f>(Granger_Inventory[[#This Row],[sum_land]]-IF(Granger_Inventory[[#This Row],[no_utilities]]=1,12000,0))/IF(Granger_Inventory[[#This Row],[unbuildable]]=1,2,1)</f>
        <v>23128.971718879347</v>
      </c>
      <c r="BX675" s="8">
        <f>Granger_Inventory[[#This Row],[pre_res]]*Granger_Inventory[[#This Row],[overall_adj]]</f>
        <v>0</v>
      </c>
      <c r="BY675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675">
        <f>ROUND(Granger_Inventory[[#This Row],[detatched_value]]*Lookups!$I$45,-2)</f>
        <v>0</v>
      </c>
      <c r="CA67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5">
        <f>Granger_Inventory[[#This Row],[final_det]]+Granger_Inventory[[#This Row],[final_res]]</f>
        <v>0</v>
      </c>
      <c r="CC675">
        <f>Granger_Inventory[[#This Row],[final_land]]+Granger_Inventory[[#This Row],[final_imp]]+Granger_Inventory[[#This Row],[crop_value]]</f>
        <v>22000</v>
      </c>
      <c r="CE675" t="str">
        <f t="shared" si="11"/>
        <v>update valuation set market_land =22000, market_bldg=0, market_total =22000, market_mdno =402, market_date ='9/10/2023' where link_id = (select link_id from parcel where parcel_year = '2024' and parcel_id = '21101644464');</v>
      </c>
    </row>
    <row r="676" spans="1:83" x14ac:dyDescent="0.25">
      <c r="A676">
        <v>21101644502</v>
      </c>
      <c r="B676">
        <v>0.15</v>
      </c>
      <c r="C676">
        <v>6472</v>
      </c>
      <c r="D676" t="s">
        <v>137</v>
      </c>
      <c r="E676" t="s">
        <v>54</v>
      </c>
      <c r="F676" t="s">
        <v>54</v>
      </c>
      <c r="G676">
        <v>3</v>
      </c>
      <c r="H676" t="s">
        <v>55</v>
      </c>
      <c r="I676">
        <v>0</v>
      </c>
      <c r="J676">
        <v>25800</v>
      </c>
      <c r="K676">
        <v>0.15</v>
      </c>
      <c r="L67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676">
        <v>0</v>
      </c>
      <c r="N676">
        <v>0</v>
      </c>
      <c r="O676">
        <v>0</v>
      </c>
      <c r="P676">
        <v>47108.068500000001</v>
      </c>
      <c r="Q676">
        <v>122298</v>
      </c>
      <c r="R676">
        <f>(Granger_Inventory[[#This Row],[ln_acres]]*Granger_Inventory[[#This Row],[coeff]])+Granger_Inventory[[#This Row],[const]]</f>
        <v>32928.341799276939</v>
      </c>
      <c r="AY676">
        <v>0</v>
      </c>
      <c r="AZ676">
        <v>0</v>
      </c>
      <c r="BE676">
        <v>0</v>
      </c>
      <c r="BF676">
        <v>15000</v>
      </c>
      <c r="BG676">
        <v>0</v>
      </c>
      <c r="BH676" s="8">
        <f>Granger_Inventory[[#This Row],[land_extract]]*Lookups!$B$3</f>
        <v>19616.42740275669</v>
      </c>
      <c r="BI676" s="8">
        <f>IF(Granger_Inventory[[#This Row],[bldg_style]]="",0,Lookups!$B$2)</f>
        <v>0</v>
      </c>
      <c r="BJ676" s="8">
        <f>_xlfn.IFNA(VLOOKUP(Granger_Inventory[[#This Row],[quality]],Lookups!$H$2:$J$14,3,FALSE),0)</f>
        <v>0</v>
      </c>
      <c r="BK676" s="8">
        <f>_xlfn.IFNA(VLOOKUP(Granger_Inventory[[#This Row],[condition]],Lookups!$H$17:$J$24,3,FALSE),0)</f>
        <v>0</v>
      </c>
      <c r="BL676" s="8">
        <f>Granger_Inventory[[#This Row],[Age]]*Lookups!$B$16</f>
        <v>0</v>
      </c>
      <c r="BM676" s="8">
        <f>Granger_Inventory[[#This Row],[living_area]]*Lookups!$B$17</f>
        <v>0</v>
      </c>
      <c r="BN676" s="8">
        <f>(Granger_Inventory[[#This Row],[att_gar]]+Granger_Inventory[[#This Row],[blt_gar]])*Lookups!$B$18</f>
        <v>0</v>
      </c>
      <c r="BO676" s="8">
        <f>Granger_Inventory[[#This Row],[Patio]]*Lookups!$B$19</f>
        <v>0</v>
      </c>
      <c r="BP676" s="8">
        <f>SUM(Granger_Inventory[[#This Row],[Intercept]:[Patio_Value]])*Granger_Inventory[[#This Row],[res_pct]]</f>
        <v>0</v>
      </c>
      <c r="BQ676" s="8">
        <f>Granger_Inventory[[#This Row],[land_value]]</f>
        <v>19616.42740275669</v>
      </c>
      <c r="BR676" s="4">
        <f>_xlfn.IFNA(VLOOKUP(Granger_Inventory[[#This Row],[quality]],Lookups!$A$25:$C$35,3,FALSE),1)</f>
        <v>1</v>
      </c>
      <c r="BS676" s="4">
        <f>_xlfn.IFNA(VLOOKUP(Granger_Inventory[[#This Row],[condition]],Lookups!$A$38:$C$45,3,FALSE),1)</f>
        <v>1</v>
      </c>
      <c r="BT676" s="4">
        <f>IF(Granger_Inventory[[#This Row],[decade]]="",1,_xlfn.IFNA(VLOOKUP(Granger_Inventory[[#This Row],[decade]],Lookups!$G$28:$I$42,3,FALSE),1))</f>
        <v>1</v>
      </c>
      <c r="BU676" s="4">
        <f>_xlfn.IFNA(VLOOKUP(Granger_Inventory[[#This Row],[living_area_range]],Lookups!$A$48:$C$57,3,FALSE),1)</f>
        <v>1</v>
      </c>
      <c r="BV676" s="4">
        <f>AVERAGE(Granger_Inventory[[#This Row],[qual_adj]:[living_range_adj]])</f>
        <v>1</v>
      </c>
      <c r="BW676" s="8">
        <f>(Granger_Inventory[[#This Row],[sum_land]]-IF(Granger_Inventory[[#This Row],[no_utilities]]=1,12000,0))/IF(Granger_Inventory[[#This Row],[unbuildable]]=1,2,1)</f>
        <v>19616.42740275669</v>
      </c>
      <c r="BX676" s="8">
        <f>Granger_Inventory[[#This Row],[pre_res]]*Granger_Inventory[[#This Row],[overall_adj]]</f>
        <v>0</v>
      </c>
      <c r="BY67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676">
        <f>ROUND(Granger_Inventory[[#This Row],[detatched_value]]*Lookups!$I$45,-2)</f>
        <v>0</v>
      </c>
      <c r="CA67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6">
        <f>Granger_Inventory[[#This Row],[final_det]]+Granger_Inventory[[#This Row],[final_res]]</f>
        <v>0</v>
      </c>
      <c r="CC676">
        <f>Granger_Inventory[[#This Row],[final_land]]+Granger_Inventory[[#This Row],[final_imp]]+Granger_Inventory[[#This Row],[crop_value]]</f>
        <v>18600</v>
      </c>
      <c r="CE676" t="str">
        <f t="shared" si="11"/>
        <v>update valuation set market_land =18600, market_bldg=0, market_total =18600, market_mdno =402, market_date ='9/10/2023' where link_id = (select link_id from parcel where parcel_year = '2024' and parcel_id = '21101644502');</v>
      </c>
    </row>
    <row r="677" spans="1:83" x14ac:dyDescent="0.25">
      <c r="A677">
        <v>21101644511</v>
      </c>
      <c r="B677" t="s">
        <v>137</v>
      </c>
      <c r="C677">
        <v>8410</v>
      </c>
      <c r="D677" t="s">
        <v>137</v>
      </c>
      <c r="E677" t="s">
        <v>54</v>
      </c>
      <c r="F677" t="s">
        <v>54</v>
      </c>
      <c r="G677">
        <v>3</v>
      </c>
      <c r="H677" t="s">
        <v>55</v>
      </c>
      <c r="I677" t="s">
        <v>137</v>
      </c>
      <c r="J677" t="s">
        <v>137</v>
      </c>
      <c r="K677">
        <v>0.19</v>
      </c>
      <c r="L677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677">
        <v>0</v>
      </c>
      <c r="N677">
        <v>0</v>
      </c>
      <c r="O677">
        <v>0</v>
      </c>
      <c r="P677">
        <v>47108.068500000001</v>
      </c>
      <c r="Q677">
        <v>122298</v>
      </c>
      <c r="R677">
        <f>(Granger_Inventory[[#This Row],[ln_acres]]*Granger_Inventory[[#This Row],[coeff]])+Granger_Inventory[[#This Row],[const]]</f>
        <v>44064.160548957996</v>
      </c>
      <c r="AY677">
        <v>0</v>
      </c>
      <c r="AZ677">
        <v>0</v>
      </c>
      <c r="BE677">
        <v>0</v>
      </c>
      <c r="BF677">
        <v>15000</v>
      </c>
      <c r="BG677">
        <v>0</v>
      </c>
      <c r="BH677" s="8">
        <f>Granger_Inventory[[#This Row],[land_extract]]*Lookups!$B$3</f>
        <v>26250.377615159185</v>
      </c>
      <c r="BI677" s="8">
        <f>IF(Granger_Inventory[[#This Row],[bldg_style]]="",0,Lookups!$B$2)</f>
        <v>0</v>
      </c>
      <c r="BJ677" s="8">
        <f>_xlfn.IFNA(VLOOKUP(Granger_Inventory[[#This Row],[quality]],Lookups!$H$2:$J$14,3,FALSE),0)</f>
        <v>0</v>
      </c>
      <c r="BK677" s="8">
        <f>_xlfn.IFNA(VLOOKUP(Granger_Inventory[[#This Row],[condition]],Lookups!$H$17:$J$24,3,FALSE),0)</f>
        <v>0</v>
      </c>
      <c r="BL677" s="8">
        <f>Granger_Inventory[[#This Row],[Age]]*Lookups!$B$16</f>
        <v>0</v>
      </c>
      <c r="BM677" s="8">
        <f>Granger_Inventory[[#This Row],[living_area]]*Lookups!$B$17</f>
        <v>0</v>
      </c>
      <c r="BN677" s="8">
        <f>(Granger_Inventory[[#This Row],[att_gar]]+Granger_Inventory[[#This Row],[blt_gar]])*Lookups!$B$18</f>
        <v>0</v>
      </c>
      <c r="BO677" s="8">
        <f>Granger_Inventory[[#This Row],[Patio]]*Lookups!$B$19</f>
        <v>0</v>
      </c>
      <c r="BP677" s="8">
        <f>SUM(Granger_Inventory[[#This Row],[Intercept]:[Patio_Value]])*Granger_Inventory[[#This Row],[res_pct]]</f>
        <v>0</v>
      </c>
      <c r="BQ677" s="8">
        <f>Granger_Inventory[[#This Row],[land_value]]</f>
        <v>26250.377615159185</v>
      </c>
      <c r="BR677" s="4">
        <f>_xlfn.IFNA(VLOOKUP(Granger_Inventory[[#This Row],[quality]],Lookups!$A$25:$C$35,3,FALSE),1)</f>
        <v>1</v>
      </c>
      <c r="BS677" s="4">
        <f>_xlfn.IFNA(VLOOKUP(Granger_Inventory[[#This Row],[condition]],Lookups!$A$38:$C$45,3,FALSE),1)</f>
        <v>1</v>
      </c>
      <c r="BT677" s="4">
        <f>IF(Granger_Inventory[[#This Row],[decade]]="",1,_xlfn.IFNA(VLOOKUP(Granger_Inventory[[#This Row],[decade]],Lookups!$G$28:$I$42,3,FALSE),1))</f>
        <v>1</v>
      </c>
      <c r="BU677" s="4">
        <f>_xlfn.IFNA(VLOOKUP(Granger_Inventory[[#This Row],[living_area_range]],Lookups!$A$48:$C$57,3,FALSE),1)</f>
        <v>1</v>
      </c>
      <c r="BV677" s="4">
        <f>AVERAGE(Granger_Inventory[[#This Row],[qual_adj]:[living_range_adj]])</f>
        <v>1</v>
      </c>
      <c r="BW677" s="8">
        <f>(Granger_Inventory[[#This Row],[sum_land]]-IF(Granger_Inventory[[#This Row],[no_utilities]]=1,12000,0))/IF(Granger_Inventory[[#This Row],[unbuildable]]=1,2,1)</f>
        <v>26250.377615159185</v>
      </c>
      <c r="BX677" s="8">
        <f>Granger_Inventory[[#This Row],[pre_res]]*Granger_Inventory[[#This Row],[overall_adj]]</f>
        <v>0</v>
      </c>
      <c r="BY677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677">
        <f>ROUND(Granger_Inventory[[#This Row],[detatched_value]]*Lookups!$I$45,-2)</f>
        <v>0</v>
      </c>
      <c r="CA67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7">
        <f>Granger_Inventory[[#This Row],[final_det]]+Granger_Inventory[[#This Row],[final_res]]</f>
        <v>0</v>
      </c>
      <c r="CC677">
        <f>Granger_Inventory[[#This Row],[final_land]]+Granger_Inventory[[#This Row],[final_imp]]+Granger_Inventory[[#This Row],[crop_value]]</f>
        <v>24900</v>
      </c>
      <c r="CE677" t="str">
        <f t="shared" si="11"/>
        <v>update valuation set market_land =24900, market_bldg=0, market_total =24900, market_mdno =402, market_date ='9/10/2023' where link_id = (select link_id from parcel where parcel_year = '2024' and parcel_id = '21101644511');</v>
      </c>
    </row>
    <row r="678" spans="1:83" x14ac:dyDescent="0.25">
      <c r="A678">
        <v>21101644512</v>
      </c>
      <c r="B678" t="s">
        <v>137</v>
      </c>
      <c r="C678">
        <v>8128</v>
      </c>
      <c r="D678" t="s">
        <v>137</v>
      </c>
      <c r="E678" t="s">
        <v>54</v>
      </c>
      <c r="F678" t="s">
        <v>54</v>
      </c>
      <c r="G678">
        <v>3</v>
      </c>
      <c r="H678" t="s">
        <v>55</v>
      </c>
      <c r="I678" t="s">
        <v>137</v>
      </c>
      <c r="J678" t="s">
        <v>137</v>
      </c>
      <c r="K678">
        <v>0.19</v>
      </c>
      <c r="L678">
        <f>IF(Granger_Inventory[[#This Row],[parcel_acres]]-Granger_Inventory[[#This Row],[non_valued_acres]] =0,0,LN(Granger_Inventory[[#This Row],[parcel_acres]]-Granger_Inventory[[#This Row],[non_valued_acres]]))</f>
        <v>-1.6607312068216509</v>
      </c>
      <c r="M678">
        <v>0</v>
      </c>
      <c r="N678">
        <v>0</v>
      </c>
      <c r="O678">
        <v>0</v>
      </c>
      <c r="P678">
        <v>47108.068500000001</v>
      </c>
      <c r="Q678">
        <v>122298</v>
      </c>
      <c r="R678">
        <f>(Granger_Inventory[[#This Row],[ln_acres]]*Granger_Inventory[[#This Row],[coeff]])+Granger_Inventory[[#This Row],[const]]</f>
        <v>44064.160548957996</v>
      </c>
      <c r="AY678">
        <v>0</v>
      </c>
      <c r="AZ678">
        <v>0</v>
      </c>
      <c r="BE678">
        <v>0</v>
      </c>
      <c r="BF678">
        <v>15000</v>
      </c>
      <c r="BG678">
        <v>0</v>
      </c>
      <c r="BH678" s="8">
        <f>Granger_Inventory[[#This Row],[land_extract]]*Lookups!$B$3</f>
        <v>26250.377615159185</v>
      </c>
      <c r="BI678" s="8">
        <f>IF(Granger_Inventory[[#This Row],[bldg_style]]="",0,Lookups!$B$2)</f>
        <v>0</v>
      </c>
      <c r="BJ678" s="8">
        <f>_xlfn.IFNA(VLOOKUP(Granger_Inventory[[#This Row],[quality]],Lookups!$H$2:$J$14,3,FALSE),0)</f>
        <v>0</v>
      </c>
      <c r="BK678" s="8">
        <f>_xlfn.IFNA(VLOOKUP(Granger_Inventory[[#This Row],[condition]],Lookups!$H$17:$J$24,3,FALSE),0)</f>
        <v>0</v>
      </c>
      <c r="BL678" s="8">
        <f>Granger_Inventory[[#This Row],[Age]]*Lookups!$B$16</f>
        <v>0</v>
      </c>
      <c r="BM678" s="8">
        <f>Granger_Inventory[[#This Row],[living_area]]*Lookups!$B$17</f>
        <v>0</v>
      </c>
      <c r="BN678" s="8">
        <f>(Granger_Inventory[[#This Row],[att_gar]]+Granger_Inventory[[#This Row],[blt_gar]])*Lookups!$B$18</f>
        <v>0</v>
      </c>
      <c r="BO678" s="8">
        <f>Granger_Inventory[[#This Row],[Patio]]*Lookups!$B$19</f>
        <v>0</v>
      </c>
      <c r="BP678" s="8">
        <f>SUM(Granger_Inventory[[#This Row],[Intercept]:[Patio_Value]])*Granger_Inventory[[#This Row],[res_pct]]</f>
        <v>0</v>
      </c>
      <c r="BQ678" s="8">
        <f>Granger_Inventory[[#This Row],[land_value]]</f>
        <v>26250.377615159185</v>
      </c>
      <c r="BR678" s="4">
        <f>_xlfn.IFNA(VLOOKUP(Granger_Inventory[[#This Row],[quality]],Lookups!$A$25:$C$35,3,FALSE),1)</f>
        <v>1</v>
      </c>
      <c r="BS678" s="4">
        <f>_xlfn.IFNA(VLOOKUP(Granger_Inventory[[#This Row],[condition]],Lookups!$A$38:$C$45,3,FALSE),1)</f>
        <v>1</v>
      </c>
      <c r="BT678" s="4">
        <f>IF(Granger_Inventory[[#This Row],[decade]]="",1,_xlfn.IFNA(VLOOKUP(Granger_Inventory[[#This Row],[decade]],Lookups!$G$28:$I$42,3,FALSE),1))</f>
        <v>1</v>
      </c>
      <c r="BU678" s="4">
        <f>_xlfn.IFNA(VLOOKUP(Granger_Inventory[[#This Row],[living_area_range]],Lookups!$A$48:$C$57,3,FALSE),1)</f>
        <v>1</v>
      </c>
      <c r="BV678" s="4">
        <f>AVERAGE(Granger_Inventory[[#This Row],[qual_adj]:[living_range_adj]])</f>
        <v>1</v>
      </c>
      <c r="BW678" s="8">
        <f>(Granger_Inventory[[#This Row],[sum_land]]-IF(Granger_Inventory[[#This Row],[no_utilities]]=1,12000,0))/IF(Granger_Inventory[[#This Row],[unbuildable]]=1,2,1)</f>
        <v>26250.377615159185</v>
      </c>
      <c r="BX678" s="8">
        <f>Granger_Inventory[[#This Row],[pre_res]]*Granger_Inventory[[#This Row],[overall_adj]]</f>
        <v>0</v>
      </c>
      <c r="BY678">
        <f>IF(ROUND(Granger_Inventory[[#This Row],[adj_land]]*Lookups!$I$45,-2)&lt;Granger_Inventory[[#This Row],[min_land]],Granger_Inventory[[#This Row],[min_land]],ROUND(Granger_Inventory[[#This Row],[adj_land]]*Lookups!$I$45,-2))</f>
        <v>24900</v>
      </c>
      <c r="BZ678">
        <f>ROUND(Granger_Inventory[[#This Row],[detatched_value]]*Lookups!$I$45,-2)</f>
        <v>0</v>
      </c>
      <c r="CA67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8">
        <f>Granger_Inventory[[#This Row],[final_det]]+Granger_Inventory[[#This Row],[final_res]]</f>
        <v>0</v>
      </c>
      <c r="CC678">
        <f>Granger_Inventory[[#This Row],[final_land]]+Granger_Inventory[[#This Row],[final_imp]]+Granger_Inventory[[#This Row],[crop_value]]</f>
        <v>24900</v>
      </c>
      <c r="CE678" t="str">
        <f t="shared" si="11"/>
        <v>update valuation set market_land =24900, market_bldg=0, market_total =24900, market_mdno =402, market_date ='9/10/2023' where link_id = (select link_id from parcel where parcel_year = '2024' and parcel_id = '21101644512');</v>
      </c>
    </row>
    <row r="679" spans="1:83" x14ac:dyDescent="0.25">
      <c r="A679">
        <v>21101711002</v>
      </c>
      <c r="B679">
        <v>4.57</v>
      </c>
      <c r="C679" t="s">
        <v>137</v>
      </c>
      <c r="D679" t="s">
        <v>137</v>
      </c>
      <c r="E679" t="s">
        <v>54</v>
      </c>
      <c r="F679" t="s">
        <v>54</v>
      </c>
      <c r="G679">
        <v>3</v>
      </c>
      <c r="H679" t="s">
        <v>55</v>
      </c>
      <c r="I679">
        <v>0</v>
      </c>
      <c r="J679">
        <v>45700</v>
      </c>
      <c r="K679">
        <v>4.57</v>
      </c>
      <c r="L679">
        <f>IF(Granger_Inventory[[#This Row],[parcel_acres]]-Granger_Inventory[[#This Row],[non_valued_acres]] =0,0,LN(Granger_Inventory[[#This Row],[parcel_acres]]-Granger_Inventory[[#This Row],[non_valued_acres]]))</f>
        <v>1.5195132049061133</v>
      </c>
      <c r="M679">
        <v>0</v>
      </c>
      <c r="N679">
        <v>0</v>
      </c>
      <c r="O679">
        <v>0</v>
      </c>
      <c r="P679">
        <v>47108.068500000001</v>
      </c>
      <c r="Q679">
        <v>122298</v>
      </c>
      <c r="R679">
        <f>(Granger_Inventory[[#This Row],[ln_acres]]*Granger_Inventory[[#This Row],[coeff]])+Granger_Inventory[[#This Row],[const]]</f>
        <v>193879.33214337172</v>
      </c>
      <c r="AY679">
        <v>0</v>
      </c>
      <c r="AZ679">
        <v>0</v>
      </c>
      <c r="BE679">
        <v>0</v>
      </c>
      <c r="BF679">
        <v>15000</v>
      </c>
      <c r="BG679">
        <v>0</v>
      </c>
      <c r="BH679" s="8">
        <f>Granger_Inventory[[#This Row],[land_extract]]*Lookups!$B$3</f>
        <v>115499.88964123656</v>
      </c>
      <c r="BI679" s="8">
        <f>IF(Granger_Inventory[[#This Row],[bldg_style]]="",0,Lookups!$B$2)</f>
        <v>0</v>
      </c>
      <c r="BJ679" s="8">
        <f>_xlfn.IFNA(VLOOKUP(Granger_Inventory[[#This Row],[quality]],Lookups!$H$2:$J$14,3,FALSE),0)</f>
        <v>0</v>
      </c>
      <c r="BK679" s="8">
        <f>_xlfn.IFNA(VLOOKUP(Granger_Inventory[[#This Row],[condition]],Lookups!$H$17:$J$24,3,FALSE),0)</f>
        <v>0</v>
      </c>
      <c r="BL679" s="8">
        <f>Granger_Inventory[[#This Row],[Age]]*Lookups!$B$16</f>
        <v>0</v>
      </c>
      <c r="BM679" s="8">
        <f>Granger_Inventory[[#This Row],[living_area]]*Lookups!$B$17</f>
        <v>0</v>
      </c>
      <c r="BN679" s="8">
        <f>(Granger_Inventory[[#This Row],[att_gar]]+Granger_Inventory[[#This Row],[blt_gar]])*Lookups!$B$18</f>
        <v>0</v>
      </c>
      <c r="BO679" s="8">
        <f>Granger_Inventory[[#This Row],[Patio]]*Lookups!$B$19</f>
        <v>0</v>
      </c>
      <c r="BP679" s="8">
        <f>SUM(Granger_Inventory[[#This Row],[Intercept]:[Patio_Value]])*Granger_Inventory[[#This Row],[res_pct]]</f>
        <v>0</v>
      </c>
      <c r="BQ679" s="8">
        <f>Granger_Inventory[[#This Row],[land_value]]</f>
        <v>115499.88964123656</v>
      </c>
      <c r="BR679" s="4">
        <f>_xlfn.IFNA(VLOOKUP(Granger_Inventory[[#This Row],[quality]],Lookups!$A$25:$C$35,3,FALSE),1)</f>
        <v>1</v>
      </c>
      <c r="BS679" s="4">
        <f>_xlfn.IFNA(VLOOKUP(Granger_Inventory[[#This Row],[condition]],Lookups!$A$38:$C$45,3,FALSE),1)</f>
        <v>1</v>
      </c>
      <c r="BT679" s="4">
        <f>IF(Granger_Inventory[[#This Row],[decade]]="",1,_xlfn.IFNA(VLOOKUP(Granger_Inventory[[#This Row],[decade]],Lookups!$G$28:$I$42,3,FALSE),1))</f>
        <v>1</v>
      </c>
      <c r="BU679" s="4">
        <f>_xlfn.IFNA(VLOOKUP(Granger_Inventory[[#This Row],[living_area_range]],Lookups!$A$48:$C$57,3,FALSE),1)</f>
        <v>1</v>
      </c>
      <c r="BV679" s="4">
        <f>AVERAGE(Granger_Inventory[[#This Row],[qual_adj]:[living_range_adj]])</f>
        <v>1</v>
      </c>
      <c r="BW679" s="8">
        <f>(Granger_Inventory[[#This Row],[sum_land]]-IF(Granger_Inventory[[#This Row],[no_utilities]]=1,12000,0))/IF(Granger_Inventory[[#This Row],[unbuildable]]=1,2,1)</f>
        <v>115499.88964123656</v>
      </c>
      <c r="BX679" s="8">
        <f>Granger_Inventory[[#This Row],[pre_res]]*Granger_Inventory[[#This Row],[overall_adj]]</f>
        <v>0</v>
      </c>
      <c r="BY679">
        <f>IF(ROUND(Granger_Inventory[[#This Row],[adj_land]]*Lookups!$I$45,-2)&lt;Granger_Inventory[[#This Row],[min_land]],Granger_Inventory[[#This Row],[min_land]],ROUND(Granger_Inventory[[#This Row],[adj_land]]*Lookups!$I$45,-2))</f>
        <v>109700</v>
      </c>
      <c r="BZ679">
        <f>ROUND(Granger_Inventory[[#This Row],[detatched_value]]*Lookups!$I$45,-2)</f>
        <v>0</v>
      </c>
      <c r="CA67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79">
        <f>Granger_Inventory[[#This Row],[final_det]]+Granger_Inventory[[#This Row],[final_res]]</f>
        <v>0</v>
      </c>
      <c r="CC679">
        <f>Granger_Inventory[[#This Row],[final_land]]+Granger_Inventory[[#This Row],[final_imp]]+Granger_Inventory[[#This Row],[crop_value]]</f>
        <v>109700</v>
      </c>
      <c r="CE679" t="str">
        <f t="shared" si="11"/>
        <v>update valuation set market_land =109700, market_bldg=0, market_total =109700, market_mdno =402, market_date ='9/10/2023' where link_id = (select link_id from parcel where parcel_year = '2024' and parcel_id = '21101711002');</v>
      </c>
    </row>
    <row r="680" spans="1:83" x14ac:dyDescent="0.25">
      <c r="A680">
        <v>21102111412</v>
      </c>
      <c r="B680">
        <v>0.08</v>
      </c>
      <c r="C680">
        <v>3332</v>
      </c>
      <c r="D680" t="s">
        <v>137</v>
      </c>
      <c r="E680" t="s">
        <v>54</v>
      </c>
      <c r="F680" t="s">
        <v>54</v>
      </c>
      <c r="G680">
        <v>3</v>
      </c>
      <c r="H680" t="s">
        <v>55</v>
      </c>
      <c r="I680">
        <v>0</v>
      </c>
      <c r="J680">
        <v>2000</v>
      </c>
      <c r="K680">
        <v>0.08</v>
      </c>
      <c r="L680">
        <f>IF(Granger_Inventory[[#This Row],[parcel_acres]]-Granger_Inventory[[#This Row],[non_valued_acres]] =0,0,LN(Granger_Inventory[[#This Row],[parcel_acres]]-Granger_Inventory[[#This Row],[non_valued_acres]]))</f>
        <v>-2.5257286443082556</v>
      </c>
      <c r="M680">
        <v>0</v>
      </c>
      <c r="N680">
        <v>0</v>
      </c>
      <c r="O680">
        <v>0</v>
      </c>
      <c r="P680">
        <v>47108.068500000001</v>
      </c>
      <c r="Q680">
        <v>122298</v>
      </c>
      <c r="R680">
        <f>(Granger_Inventory[[#This Row],[ln_acres]]*Granger_Inventory[[#This Row],[coeff]])+Granger_Inventory[[#This Row],[const]]</f>
        <v>3315.8020115145628</v>
      </c>
      <c r="AY680">
        <v>0</v>
      </c>
      <c r="AZ680">
        <v>0</v>
      </c>
      <c r="BE680">
        <v>0</v>
      </c>
      <c r="BF680">
        <v>15000</v>
      </c>
      <c r="BG680">
        <v>0</v>
      </c>
      <c r="BH680" s="8">
        <f>Granger_Inventory[[#This Row],[land_extract]]*Lookups!$B$3</f>
        <v>1975.3253849611797</v>
      </c>
      <c r="BI680" s="8">
        <f>IF(Granger_Inventory[[#This Row],[bldg_style]]="",0,Lookups!$B$2)</f>
        <v>0</v>
      </c>
      <c r="BJ680" s="8">
        <f>_xlfn.IFNA(VLOOKUP(Granger_Inventory[[#This Row],[quality]],Lookups!$H$2:$J$14,3,FALSE),0)</f>
        <v>0</v>
      </c>
      <c r="BK680" s="8">
        <f>_xlfn.IFNA(VLOOKUP(Granger_Inventory[[#This Row],[condition]],Lookups!$H$17:$J$24,3,FALSE),0)</f>
        <v>0</v>
      </c>
      <c r="BL680" s="8">
        <f>Granger_Inventory[[#This Row],[Age]]*Lookups!$B$16</f>
        <v>0</v>
      </c>
      <c r="BM680" s="8">
        <f>Granger_Inventory[[#This Row],[living_area]]*Lookups!$B$17</f>
        <v>0</v>
      </c>
      <c r="BN680" s="8">
        <f>(Granger_Inventory[[#This Row],[att_gar]]+Granger_Inventory[[#This Row],[blt_gar]])*Lookups!$B$18</f>
        <v>0</v>
      </c>
      <c r="BO680" s="8">
        <f>Granger_Inventory[[#This Row],[Patio]]*Lookups!$B$19</f>
        <v>0</v>
      </c>
      <c r="BP680" s="8">
        <f>SUM(Granger_Inventory[[#This Row],[Intercept]:[Patio_Value]])*Granger_Inventory[[#This Row],[res_pct]]</f>
        <v>0</v>
      </c>
      <c r="BQ680" s="8">
        <f>Granger_Inventory[[#This Row],[land_value]]</f>
        <v>1975.3253849611797</v>
      </c>
      <c r="BR680" s="4">
        <f>_xlfn.IFNA(VLOOKUP(Granger_Inventory[[#This Row],[quality]],Lookups!$A$25:$C$35,3,FALSE),1)</f>
        <v>1</v>
      </c>
      <c r="BS680" s="4">
        <f>_xlfn.IFNA(VLOOKUP(Granger_Inventory[[#This Row],[condition]],Lookups!$A$38:$C$45,3,FALSE),1)</f>
        <v>1</v>
      </c>
      <c r="BT680" s="4">
        <f>IF(Granger_Inventory[[#This Row],[decade]]="",1,_xlfn.IFNA(VLOOKUP(Granger_Inventory[[#This Row],[decade]],Lookups!$G$28:$I$42,3,FALSE),1))</f>
        <v>1</v>
      </c>
      <c r="BU680" s="4">
        <f>_xlfn.IFNA(VLOOKUP(Granger_Inventory[[#This Row],[living_area_range]],Lookups!$A$48:$C$57,3,FALSE),1)</f>
        <v>1</v>
      </c>
      <c r="BV680" s="4">
        <f>AVERAGE(Granger_Inventory[[#This Row],[qual_adj]:[living_range_adj]])</f>
        <v>1</v>
      </c>
      <c r="BW680" s="8">
        <f>(Granger_Inventory[[#This Row],[sum_land]]-IF(Granger_Inventory[[#This Row],[no_utilities]]=1,12000,0))/IF(Granger_Inventory[[#This Row],[unbuildable]]=1,2,1)</f>
        <v>1975.3253849611797</v>
      </c>
      <c r="BX680" s="8">
        <f>Granger_Inventory[[#This Row],[pre_res]]*Granger_Inventory[[#This Row],[overall_adj]]</f>
        <v>0</v>
      </c>
      <c r="BY680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680">
        <f>ROUND(Granger_Inventory[[#This Row],[detatched_value]]*Lookups!$I$45,-2)</f>
        <v>0</v>
      </c>
      <c r="CA68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0">
        <f>Granger_Inventory[[#This Row],[final_det]]+Granger_Inventory[[#This Row],[final_res]]</f>
        <v>0</v>
      </c>
      <c r="CC680">
        <f>Granger_Inventory[[#This Row],[final_land]]+Granger_Inventory[[#This Row],[final_imp]]+Granger_Inventory[[#This Row],[crop_value]]</f>
        <v>15000</v>
      </c>
      <c r="CE680" t="str">
        <f t="shared" si="11"/>
        <v>update valuation set market_land =15000, market_bldg=0, market_total =15000, market_mdno =402, market_date ='9/10/2023' where link_id = (select link_id from parcel where parcel_year = '2024' and parcel_id = '21102111412');</v>
      </c>
    </row>
    <row r="681" spans="1:83" x14ac:dyDescent="0.25">
      <c r="A681">
        <v>21102111439</v>
      </c>
      <c r="B681">
        <v>0.03</v>
      </c>
      <c r="C681" t="s">
        <v>137</v>
      </c>
      <c r="D681" t="s">
        <v>137</v>
      </c>
      <c r="E681" t="s">
        <v>54</v>
      </c>
      <c r="F681" t="s">
        <v>54</v>
      </c>
      <c r="G681">
        <v>3</v>
      </c>
      <c r="H681" t="s">
        <v>55</v>
      </c>
      <c r="I681">
        <v>0</v>
      </c>
      <c r="J681">
        <v>1000</v>
      </c>
      <c r="K681">
        <v>0.03</v>
      </c>
      <c r="L681">
        <f>IF(Granger_Inventory[[#This Row],[parcel_acres]]-Granger_Inventory[[#This Row],[non_valued_acres]] =0,0,LN(Granger_Inventory[[#This Row],[parcel_acres]]-Granger_Inventory[[#This Row],[non_valued_acres]]))</f>
        <v>-3.5065578973199818</v>
      </c>
      <c r="M681">
        <v>0</v>
      </c>
      <c r="N681">
        <v>0</v>
      </c>
      <c r="O681">
        <v>0</v>
      </c>
      <c r="P681">
        <v>47108.068500000001</v>
      </c>
      <c r="Q681">
        <v>122298</v>
      </c>
      <c r="R681">
        <f>(Granger_Inventory[[#This Row],[ln_acres]]*Granger_Inventory[[#This Row],[coeff]])+Granger_Inventory[[#This Row],[const]]</f>
        <v>-42889.169626165676</v>
      </c>
      <c r="AY681">
        <v>0</v>
      </c>
      <c r="AZ681">
        <v>0</v>
      </c>
      <c r="BE681">
        <v>0</v>
      </c>
      <c r="BF681">
        <v>15000</v>
      </c>
      <c r="BG681">
        <v>0</v>
      </c>
      <c r="BH681" s="8">
        <f>Granger_Inventory[[#This Row],[land_extract]]*Lookups!$B$3</f>
        <v>-25550.39933273138</v>
      </c>
      <c r="BI681" s="8">
        <f>IF(Granger_Inventory[[#This Row],[bldg_style]]="",0,Lookups!$B$2)</f>
        <v>0</v>
      </c>
      <c r="BJ681" s="8">
        <f>_xlfn.IFNA(VLOOKUP(Granger_Inventory[[#This Row],[quality]],Lookups!$H$2:$J$14,3,FALSE),0)</f>
        <v>0</v>
      </c>
      <c r="BK681" s="8">
        <f>_xlfn.IFNA(VLOOKUP(Granger_Inventory[[#This Row],[condition]],Lookups!$H$17:$J$24,3,FALSE),0)</f>
        <v>0</v>
      </c>
      <c r="BL681" s="8">
        <f>Granger_Inventory[[#This Row],[Age]]*Lookups!$B$16</f>
        <v>0</v>
      </c>
      <c r="BM681" s="8">
        <f>Granger_Inventory[[#This Row],[living_area]]*Lookups!$B$17</f>
        <v>0</v>
      </c>
      <c r="BN681" s="8">
        <f>(Granger_Inventory[[#This Row],[att_gar]]+Granger_Inventory[[#This Row],[blt_gar]])*Lookups!$B$18</f>
        <v>0</v>
      </c>
      <c r="BO681" s="8">
        <f>Granger_Inventory[[#This Row],[Patio]]*Lookups!$B$19</f>
        <v>0</v>
      </c>
      <c r="BP681" s="8">
        <f>SUM(Granger_Inventory[[#This Row],[Intercept]:[Patio_Value]])*Granger_Inventory[[#This Row],[res_pct]]</f>
        <v>0</v>
      </c>
      <c r="BQ681" s="8">
        <f>Granger_Inventory[[#This Row],[land_value]]</f>
        <v>-25550.39933273138</v>
      </c>
      <c r="BR681" s="4">
        <f>_xlfn.IFNA(VLOOKUP(Granger_Inventory[[#This Row],[quality]],Lookups!$A$25:$C$35,3,FALSE),1)</f>
        <v>1</v>
      </c>
      <c r="BS681" s="4">
        <f>_xlfn.IFNA(VLOOKUP(Granger_Inventory[[#This Row],[condition]],Lookups!$A$38:$C$45,3,FALSE),1)</f>
        <v>1</v>
      </c>
      <c r="BT681" s="4">
        <f>IF(Granger_Inventory[[#This Row],[decade]]="",1,_xlfn.IFNA(VLOOKUP(Granger_Inventory[[#This Row],[decade]],Lookups!$G$28:$I$42,3,FALSE),1))</f>
        <v>1</v>
      </c>
      <c r="BU681" s="4">
        <f>_xlfn.IFNA(VLOOKUP(Granger_Inventory[[#This Row],[living_area_range]],Lookups!$A$48:$C$57,3,FALSE),1)</f>
        <v>1</v>
      </c>
      <c r="BV681" s="4">
        <f>AVERAGE(Granger_Inventory[[#This Row],[qual_adj]:[living_range_adj]])</f>
        <v>1</v>
      </c>
      <c r="BW681" s="8">
        <f>(Granger_Inventory[[#This Row],[sum_land]]-IF(Granger_Inventory[[#This Row],[no_utilities]]=1,12000,0))/IF(Granger_Inventory[[#This Row],[unbuildable]]=1,2,1)</f>
        <v>-25550.39933273138</v>
      </c>
      <c r="BX681" s="8">
        <f>Granger_Inventory[[#This Row],[pre_res]]*Granger_Inventory[[#This Row],[overall_adj]]</f>
        <v>0</v>
      </c>
      <c r="BY681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681">
        <f>ROUND(Granger_Inventory[[#This Row],[detatched_value]]*Lookups!$I$45,-2)</f>
        <v>0</v>
      </c>
      <c r="CA68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1">
        <f>Granger_Inventory[[#This Row],[final_det]]+Granger_Inventory[[#This Row],[final_res]]</f>
        <v>0</v>
      </c>
      <c r="CC681">
        <f>Granger_Inventory[[#This Row],[final_land]]+Granger_Inventory[[#This Row],[final_imp]]+Granger_Inventory[[#This Row],[crop_value]]</f>
        <v>15000</v>
      </c>
      <c r="CE681" t="str">
        <f t="shared" si="11"/>
        <v>update valuation set market_land =15000, market_bldg=0, market_total =15000, market_mdno =402, market_date ='9/10/2023' where link_id = (select link_id from parcel where parcel_year = '2024' and parcel_id = '21102111439');</v>
      </c>
    </row>
    <row r="682" spans="1:83" x14ac:dyDescent="0.25">
      <c r="A682">
        <v>21102111484</v>
      </c>
      <c r="B682">
        <v>0.08</v>
      </c>
      <c r="C682">
        <v>4738</v>
      </c>
      <c r="D682" t="s">
        <v>137</v>
      </c>
      <c r="E682" t="s">
        <v>54</v>
      </c>
      <c r="F682" t="s">
        <v>54</v>
      </c>
      <c r="G682">
        <v>3</v>
      </c>
      <c r="H682" t="s">
        <v>55</v>
      </c>
      <c r="I682">
        <v>0</v>
      </c>
      <c r="J682">
        <v>2500</v>
      </c>
      <c r="K682">
        <v>0.08</v>
      </c>
      <c r="L682">
        <f>IF(Granger_Inventory[[#This Row],[parcel_acres]]-Granger_Inventory[[#This Row],[non_valued_acres]] =0,0,LN(Granger_Inventory[[#This Row],[parcel_acres]]-Granger_Inventory[[#This Row],[non_valued_acres]]))</f>
        <v>-2.5257286443082556</v>
      </c>
      <c r="M682">
        <v>0</v>
      </c>
      <c r="N682">
        <v>0</v>
      </c>
      <c r="O682">
        <v>0</v>
      </c>
      <c r="P682">
        <v>47108.068500000001</v>
      </c>
      <c r="Q682">
        <v>122298</v>
      </c>
      <c r="R682">
        <f>(Granger_Inventory[[#This Row],[ln_acres]]*Granger_Inventory[[#This Row],[coeff]])+Granger_Inventory[[#This Row],[const]]</f>
        <v>3315.8020115145628</v>
      </c>
      <c r="AY682">
        <v>0</v>
      </c>
      <c r="AZ682">
        <v>0</v>
      </c>
      <c r="BE682">
        <v>0</v>
      </c>
      <c r="BF682">
        <v>15000</v>
      </c>
      <c r="BG682">
        <v>0</v>
      </c>
      <c r="BH682" s="8">
        <f>Granger_Inventory[[#This Row],[land_extract]]*Lookups!$B$3</f>
        <v>1975.3253849611797</v>
      </c>
      <c r="BI682" s="8">
        <f>IF(Granger_Inventory[[#This Row],[bldg_style]]="",0,Lookups!$B$2)</f>
        <v>0</v>
      </c>
      <c r="BJ682" s="8">
        <f>_xlfn.IFNA(VLOOKUP(Granger_Inventory[[#This Row],[quality]],Lookups!$H$2:$J$14,3,FALSE),0)</f>
        <v>0</v>
      </c>
      <c r="BK682" s="8">
        <f>_xlfn.IFNA(VLOOKUP(Granger_Inventory[[#This Row],[condition]],Lookups!$H$17:$J$24,3,FALSE),0)</f>
        <v>0</v>
      </c>
      <c r="BL682" s="8">
        <f>Granger_Inventory[[#This Row],[Age]]*Lookups!$B$16</f>
        <v>0</v>
      </c>
      <c r="BM682" s="8">
        <f>Granger_Inventory[[#This Row],[living_area]]*Lookups!$B$17</f>
        <v>0</v>
      </c>
      <c r="BN682" s="8">
        <f>(Granger_Inventory[[#This Row],[att_gar]]+Granger_Inventory[[#This Row],[blt_gar]])*Lookups!$B$18</f>
        <v>0</v>
      </c>
      <c r="BO682" s="8">
        <f>Granger_Inventory[[#This Row],[Patio]]*Lookups!$B$19</f>
        <v>0</v>
      </c>
      <c r="BP682" s="8">
        <f>SUM(Granger_Inventory[[#This Row],[Intercept]:[Patio_Value]])*Granger_Inventory[[#This Row],[res_pct]]</f>
        <v>0</v>
      </c>
      <c r="BQ682" s="8">
        <f>Granger_Inventory[[#This Row],[land_value]]</f>
        <v>1975.3253849611797</v>
      </c>
      <c r="BR682" s="4">
        <f>_xlfn.IFNA(VLOOKUP(Granger_Inventory[[#This Row],[quality]],Lookups!$A$25:$C$35,3,FALSE),1)</f>
        <v>1</v>
      </c>
      <c r="BS682" s="4">
        <f>_xlfn.IFNA(VLOOKUP(Granger_Inventory[[#This Row],[condition]],Lookups!$A$38:$C$45,3,FALSE),1)</f>
        <v>1</v>
      </c>
      <c r="BT682" s="4">
        <f>IF(Granger_Inventory[[#This Row],[decade]]="",1,_xlfn.IFNA(VLOOKUP(Granger_Inventory[[#This Row],[decade]],Lookups!$G$28:$I$42,3,FALSE),1))</f>
        <v>1</v>
      </c>
      <c r="BU682" s="4">
        <f>_xlfn.IFNA(VLOOKUP(Granger_Inventory[[#This Row],[living_area_range]],Lookups!$A$48:$C$57,3,FALSE),1)</f>
        <v>1</v>
      </c>
      <c r="BV682" s="4">
        <f>AVERAGE(Granger_Inventory[[#This Row],[qual_adj]:[living_range_adj]])</f>
        <v>1</v>
      </c>
      <c r="BW682" s="8">
        <f>(Granger_Inventory[[#This Row],[sum_land]]-IF(Granger_Inventory[[#This Row],[no_utilities]]=1,12000,0))/IF(Granger_Inventory[[#This Row],[unbuildable]]=1,2,1)</f>
        <v>1975.3253849611797</v>
      </c>
      <c r="BX682" s="8">
        <f>Granger_Inventory[[#This Row],[pre_res]]*Granger_Inventory[[#This Row],[overall_adj]]</f>
        <v>0</v>
      </c>
      <c r="BY682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682">
        <f>ROUND(Granger_Inventory[[#This Row],[detatched_value]]*Lookups!$I$45,-2)</f>
        <v>0</v>
      </c>
      <c r="CA68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2">
        <f>Granger_Inventory[[#This Row],[final_det]]+Granger_Inventory[[#This Row],[final_res]]</f>
        <v>0</v>
      </c>
      <c r="CC682">
        <f>Granger_Inventory[[#This Row],[final_land]]+Granger_Inventory[[#This Row],[final_imp]]+Granger_Inventory[[#This Row],[crop_value]]</f>
        <v>15000</v>
      </c>
      <c r="CE682" t="str">
        <f t="shared" si="11"/>
        <v>update valuation set market_land =15000, market_bldg=0, market_total =15000, market_mdno =402, market_date ='9/10/2023' where link_id = (select link_id from parcel where parcel_year = '2024' and parcel_id = '21102111484');</v>
      </c>
    </row>
    <row r="683" spans="1:83" x14ac:dyDescent="0.25">
      <c r="A683">
        <v>21102111492</v>
      </c>
      <c r="B683">
        <v>0.14000000000000001</v>
      </c>
      <c r="C683">
        <v>6236</v>
      </c>
      <c r="D683" t="s">
        <v>137</v>
      </c>
      <c r="E683" t="s">
        <v>54</v>
      </c>
      <c r="F683" t="s">
        <v>54</v>
      </c>
      <c r="G683">
        <v>3</v>
      </c>
      <c r="H683" t="s">
        <v>55</v>
      </c>
      <c r="I683">
        <v>0</v>
      </c>
      <c r="J683">
        <v>25400</v>
      </c>
      <c r="K683">
        <v>0.14000000000000001</v>
      </c>
      <c r="L683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683">
        <v>0</v>
      </c>
      <c r="N683">
        <v>0</v>
      </c>
      <c r="O683">
        <v>0</v>
      </c>
      <c r="P683">
        <v>47108.068500000001</v>
      </c>
      <c r="Q683">
        <v>122298</v>
      </c>
      <c r="R683">
        <f>(Granger_Inventory[[#This Row],[ln_acres]]*Granger_Inventory[[#This Row],[coeff]])+Granger_Inventory[[#This Row],[const]]</f>
        <v>29678.220883257934</v>
      </c>
      <c r="AY683">
        <v>0</v>
      </c>
      <c r="AZ683">
        <v>0</v>
      </c>
      <c r="BE683">
        <v>0</v>
      </c>
      <c r="BF683">
        <v>15000</v>
      </c>
      <c r="BG683">
        <v>0</v>
      </c>
      <c r="BH683" s="8">
        <f>Granger_Inventory[[#This Row],[land_extract]]*Lookups!$B$3</f>
        <v>17680.230269359956</v>
      </c>
      <c r="BI683" s="8">
        <f>IF(Granger_Inventory[[#This Row],[bldg_style]]="",0,Lookups!$B$2)</f>
        <v>0</v>
      </c>
      <c r="BJ683" s="8">
        <f>_xlfn.IFNA(VLOOKUP(Granger_Inventory[[#This Row],[quality]],Lookups!$H$2:$J$14,3,FALSE),0)</f>
        <v>0</v>
      </c>
      <c r="BK683" s="8">
        <f>_xlfn.IFNA(VLOOKUP(Granger_Inventory[[#This Row],[condition]],Lookups!$H$17:$J$24,3,FALSE),0)</f>
        <v>0</v>
      </c>
      <c r="BL683" s="8">
        <f>Granger_Inventory[[#This Row],[Age]]*Lookups!$B$16</f>
        <v>0</v>
      </c>
      <c r="BM683" s="8">
        <f>Granger_Inventory[[#This Row],[living_area]]*Lookups!$B$17</f>
        <v>0</v>
      </c>
      <c r="BN683" s="8">
        <f>(Granger_Inventory[[#This Row],[att_gar]]+Granger_Inventory[[#This Row],[blt_gar]])*Lookups!$B$18</f>
        <v>0</v>
      </c>
      <c r="BO683" s="8">
        <f>Granger_Inventory[[#This Row],[Patio]]*Lookups!$B$19</f>
        <v>0</v>
      </c>
      <c r="BP683" s="8">
        <f>SUM(Granger_Inventory[[#This Row],[Intercept]:[Patio_Value]])*Granger_Inventory[[#This Row],[res_pct]]</f>
        <v>0</v>
      </c>
      <c r="BQ683" s="8">
        <f>Granger_Inventory[[#This Row],[land_value]]</f>
        <v>17680.230269359956</v>
      </c>
      <c r="BR683" s="4">
        <f>_xlfn.IFNA(VLOOKUP(Granger_Inventory[[#This Row],[quality]],Lookups!$A$25:$C$35,3,FALSE),1)</f>
        <v>1</v>
      </c>
      <c r="BS683" s="4">
        <f>_xlfn.IFNA(VLOOKUP(Granger_Inventory[[#This Row],[condition]],Lookups!$A$38:$C$45,3,FALSE),1)</f>
        <v>1</v>
      </c>
      <c r="BT683" s="4">
        <f>IF(Granger_Inventory[[#This Row],[decade]]="",1,_xlfn.IFNA(VLOOKUP(Granger_Inventory[[#This Row],[decade]],Lookups!$G$28:$I$42,3,FALSE),1))</f>
        <v>1</v>
      </c>
      <c r="BU683" s="4">
        <f>_xlfn.IFNA(VLOOKUP(Granger_Inventory[[#This Row],[living_area_range]],Lookups!$A$48:$C$57,3,FALSE),1)</f>
        <v>1</v>
      </c>
      <c r="BV683" s="4">
        <f>AVERAGE(Granger_Inventory[[#This Row],[qual_adj]:[living_range_adj]])</f>
        <v>1</v>
      </c>
      <c r="BW683" s="8">
        <f>(Granger_Inventory[[#This Row],[sum_land]]-IF(Granger_Inventory[[#This Row],[no_utilities]]=1,12000,0))/IF(Granger_Inventory[[#This Row],[unbuildable]]=1,2,1)</f>
        <v>17680.230269359956</v>
      </c>
      <c r="BX683" s="8">
        <f>Granger_Inventory[[#This Row],[pre_res]]*Granger_Inventory[[#This Row],[overall_adj]]</f>
        <v>0</v>
      </c>
      <c r="BY683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683">
        <f>ROUND(Granger_Inventory[[#This Row],[detatched_value]]*Lookups!$I$45,-2)</f>
        <v>0</v>
      </c>
      <c r="CA68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3">
        <f>Granger_Inventory[[#This Row],[final_det]]+Granger_Inventory[[#This Row],[final_res]]</f>
        <v>0</v>
      </c>
      <c r="CC683">
        <f>Granger_Inventory[[#This Row],[final_land]]+Granger_Inventory[[#This Row],[final_imp]]+Granger_Inventory[[#This Row],[crop_value]]</f>
        <v>16800</v>
      </c>
      <c r="CE683" t="str">
        <f t="shared" si="11"/>
        <v>update valuation set market_land =16800, market_bldg=0, market_total =16800, market_mdno =402, market_date ='9/10/2023' where link_id = (select link_id from parcel where parcel_year = '2024' and parcel_id = '21102111492');</v>
      </c>
    </row>
    <row r="684" spans="1:83" x14ac:dyDescent="0.25">
      <c r="A684">
        <v>21102111493</v>
      </c>
      <c r="B684">
        <v>0.44</v>
      </c>
      <c r="C684">
        <v>19359</v>
      </c>
      <c r="D684" t="s">
        <v>137</v>
      </c>
      <c r="E684" t="s">
        <v>54</v>
      </c>
      <c r="F684" t="s">
        <v>54</v>
      </c>
      <c r="G684">
        <v>3</v>
      </c>
      <c r="H684" t="s">
        <v>55</v>
      </c>
      <c r="I684">
        <v>0</v>
      </c>
      <c r="J684">
        <v>32000</v>
      </c>
      <c r="K684">
        <v>0.44</v>
      </c>
      <c r="L684">
        <f>IF(Granger_Inventory[[#This Row],[parcel_acres]]-Granger_Inventory[[#This Row],[non_valued_acres]] =0,0,LN(Granger_Inventory[[#This Row],[parcel_acres]]-Granger_Inventory[[#This Row],[non_valued_acres]]))</f>
        <v>-0.82098055206983023</v>
      </c>
      <c r="M684">
        <v>0</v>
      </c>
      <c r="N684">
        <v>0</v>
      </c>
      <c r="O684">
        <v>0</v>
      </c>
      <c r="P684">
        <v>47108.068500000001</v>
      </c>
      <c r="Q684">
        <v>122298</v>
      </c>
      <c r="R684">
        <f>(Granger_Inventory[[#This Row],[ln_acres]]*Granger_Inventory[[#This Row],[coeff]])+Granger_Inventory[[#This Row],[const]]</f>
        <v>83623.191915926611</v>
      </c>
      <c r="AY684">
        <v>0</v>
      </c>
      <c r="AZ684">
        <v>0</v>
      </c>
      <c r="BE684">
        <v>0</v>
      </c>
      <c r="BF684">
        <v>15000</v>
      </c>
      <c r="BG684">
        <v>0</v>
      </c>
      <c r="BH684" s="8">
        <f>Granger_Inventory[[#This Row],[land_extract]]*Lookups!$B$3</f>
        <v>49816.911018628496</v>
      </c>
      <c r="BI684" s="8">
        <f>IF(Granger_Inventory[[#This Row],[bldg_style]]="",0,Lookups!$B$2)</f>
        <v>0</v>
      </c>
      <c r="BJ684" s="8">
        <f>_xlfn.IFNA(VLOOKUP(Granger_Inventory[[#This Row],[quality]],Lookups!$H$2:$J$14,3,FALSE),0)</f>
        <v>0</v>
      </c>
      <c r="BK684" s="8">
        <f>_xlfn.IFNA(VLOOKUP(Granger_Inventory[[#This Row],[condition]],Lookups!$H$17:$J$24,3,FALSE),0)</f>
        <v>0</v>
      </c>
      <c r="BL684" s="8">
        <f>Granger_Inventory[[#This Row],[Age]]*Lookups!$B$16</f>
        <v>0</v>
      </c>
      <c r="BM684" s="8">
        <f>Granger_Inventory[[#This Row],[living_area]]*Lookups!$B$17</f>
        <v>0</v>
      </c>
      <c r="BN684" s="8">
        <f>(Granger_Inventory[[#This Row],[att_gar]]+Granger_Inventory[[#This Row],[blt_gar]])*Lookups!$B$18</f>
        <v>0</v>
      </c>
      <c r="BO684" s="8">
        <f>Granger_Inventory[[#This Row],[Patio]]*Lookups!$B$19</f>
        <v>0</v>
      </c>
      <c r="BP684" s="8">
        <f>SUM(Granger_Inventory[[#This Row],[Intercept]:[Patio_Value]])*Granger_Inventory[[#This Row],[res_pct]]</f>
        <v>0</v>
      </c>
      <c r="BQ684" s="8">
        <f>Granger_Inventory[[#This Row],[land_value]]</f>
        <v>49816.911018628496</v>
      </c>
      <c r="BR684" s="4">
        <f>_xlfn.IFNA(VLOOKUP(Granger_Inventory[[#This Row],[quality]],Lookups!$A$25:$C$35,3,FALSE),1)</f>
        <v>1</v>
      </c>
      <c r="BS684" s="4">
        <f>_xlfn.IFNA(VLOOKUP(Granger_Inventory[[#This Row],[condition]],Lookups!$A$38:$C$45,3,FALSE),1)</f>
        <v>1</v>
      </c>
      <c r="BT684" s="4">
        <f>IF(Granger_Inventory[[#This Row],[decade]]="",1,_xlfn.IFNA(VLOOKUP(Granger_Inventory[[#This Row],[decade]],Lookups!$G$28:$I$42,3,FALSE),1))</f>
        <v>1</v>
      </c>
      <c r="BU684" s="4">
        <f>_xlfn.IFNA(VLOOKUP(Granger_Inventory[[#This Row],[living_area_range]],Lookups!$A$48:$C$57,3,FALSE),1)</f>
        <v>1</v>
      </c>
      <c r="BV684" s="4">
        <f>AVERAGE(Granger_Inventory[[#This Row],[qual_adj]:[living_range_adj]])</f>
        <v>1</v>
      </c>
      <c r="BW684" s="8">
        <f>(Granger_Inventory[[#This Row],[sum_land]]-IF(Granger_Inventory[[#This Row],[no_utilities]]=1,12000,0))/IF(Granger_Inventory[[#This Row],[unbuildable]]=1,2,1)</f>
        <v>49816.911018628496</v>
      </c>
      <c r="BX684" s="8">
        <f>Granger_Inventory[[#This Row],[pre_res]]*Granger_Inventory[[#This Row],[overall_adj]]</f>
        <v>0</v>
      </c>
      <c r="BY684">
        <f>IF(ROUND(Granger_Inventory[[#This Row],[adj_land]]*Lookups!$I$45,-2)&lt;Granger_Inventory[[#This Row],[min_land]],Granger_Inventory[[#This Row],[min_land]],ROUND(Granger_Inventory[[#This Row],[adj_land]]*Lookups!$I$45,-2))</f>
        <v>47300</v>
      </c>
      <c r="BZ684">
        <f>ROUND(Granger_Inventory[[#This Row],[detatched_value]]*Lookups!$I$45,-2)</f>
        <v>0</v>
      </c>
      <c r="CA68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4">
        <f>Granger_Inventory[[#This Row],[final_det]]+Granger_Inventory[[#This Row],[final_res]]</f>
        <v>0</v>
      </c>
      <c r="CC684">
        <f>Granger_Inventory[[#This Row],[final_land]]+Granger_Inventory[[#This Row],[final_imp]]+Granger_Inventory[[#This Row],[crop_value]]</f>
        <v>47300</v>
      </c>
      <c r="CE684" t="str">
        <f t="shared" si="11"/>
        <v>update valuation set market_land =47300, market_bldg=0, market_total =47300, market_mdno =402, market_date ='9/10/2023' where link_id = (select link_id from parcel where parcel_year = '2024' and parcel_id = '21102111493');</v>
      </c>
    </row>
    <row r="685" spans="1:83" x14ac:dyDescent="0.25">
      <c r="A685">
        <v>21102111517</v>
      </c>
      <c r="B685">
        <v>0.2</v>
      </c>
      <c r="C685" t="s">
        <v>137</v>
      </c>
      <c r="D685" t="s">
        <v>137</v>
      </c>
      <c r="E685" t="s">
        <v>54</v>
      </c>
      <c r="F685" t="s">
        <v>54</v>
      </c>
      <c r="G685">
        <v>3</v>
      </c>
      <c r="H685" t="s">
        <v>55</v>
      </c>
      <c r="I685">
        <v>0</v>
      </c>
      <c r="J685">
        <v>27500</v>
      </c>
      <c r="K685">
        <v>0.2</v>
      </c>
      <c r="L685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685">
        <v>0</v>
      </c>
      <c r="N685">
        <v>0</v>
      </c>
      <c r="O685">
        <v>1</v>
      </c>
      <c r="P685">
        <v>47108.068500000001</v>
      </c>
      <c r="Q685">
        <v>122298</v>
      </c>
      <c r="R685">
        <f>(Granger_Inventory[[#This Row],[ln_acres]]*Granger_Inventory[[#This Row],[coeff]])+Granger_Inventory[[#This Row],[const]]</f>
        <v>46480.488574557399</v>
      </c>
      <c r="AY685">
        <v>0</v>
      </c>
      <c r="AZ685">
        <v>0</v>
      </c>
      <c r="BE685">
        <v>0</v>
      </c>
      <c r="BF685">
        <v>3000</v>
      </c>
      <c r="BG685">
        <v>0</v>
      </c>
      <c r="BH685" s="8">
        <f>Granger_Inventory[[#This Row],[land_extract]]*Lookups!$B$3</f>
        <v>27689.858642911939</v>
      </c>
      <c r="BI685" s="8">
        <f>IF(Granger_Inventory[[#This Row],[bldg_style]]="",0,Lookups!$B$2)</f>
        <v>0</v>
      </c>
      <c r="BJ685" s="8">
        <f>_xlfn.IFNA(VLOOKUP(Granger_Inventory[[#This Row],[quality]],Lookups!$H$2:$J$14,3,FALSE),0)</f>
        <v>0</v>
      </c>
      <c r="BK685" s="8">
        <f>_xlfn.IFNA(VLOOKUP(Granger_Inventory[[#This Row],[condition]],Lookups!$H$17:$J$24,3,FALSE),0)</f>
        <v>0</v>
      </c>
      <c r="BL685" s="8">
        <f>Granger_Inventory[[#This Row],[Age]]*Lookups!$B$16</f>
        <v>0</v>
      </c>
      <c r="BM685" s="8">
        <f>Granger_Inventory[[#This Row],[living_area]]*Lookups!$B$17</f>
        <v>0</v>
      </c>
      <c r="BN685" s="8">
        <f>(Granger_Inventory[[#This Row],[att_gar]]+Granger_Inventory[[#This Row],[blt_gar]])*Lookups!$B$18</f>
        <v>0</v>
      </c>
      <c r="BO685" s="8">
        <f>Granger_Inventory[[#This Row],[Patio]]*Lookups!$B$19</f>
        <v>0</v>
      </c>
      <c r="BP685" s="8">
        <f>SUM(Granger_Inventory[[#This Row],[Intercept]:[Patio_Value]])*Granger_Inventory[[#This Row],[res_pct]]</f>
        <v>0</v>
      </c>
      <c r="BQ685" s="8">
        <f>Granger_Inventory[[#This Row],[land_value]]</f>
        <v>27689.858642911939</v>
      </c>
      <c r="BR685" s="4">
        <f>_xlfn.IFNA(VLOOKUP(Granger_Inventory[[#This Row],[quality]],Lookups!$A$25:$C$35,3,FALSE),1)</f>
        <v>1</v>
      </c>
      <c r="BS685" s="4">
        <f>_xlfn.IFNA(VLOOKUP(Granger_Inventory[[#This Row],[condition]],Lookups!$A$38:$C$45,3,FALSE),1)</f>
        <v>1</v>
      </c>
      <c r="BT685" s="4">
        <f>IF(Granger_Inventory[[#This Row],[decade]]="",1,_xlfn.IFNA(VLOOKUP(Granger_Inventory[[#This Row],[decade]],Lookups!$G$28:$I$42,3,FALSE),1))</f>
        <v>1</v>
      </c>
      <c r="BU685" s="4">
        <f>_xlfn.IFNA(VLOOKUP(Granger_Inventory[[#This Row],[living_area_range]],Lookups!$A$48:$C$57,3,FALSE),1)</f>
        <v>1</v>
      </c>
      <c r="BV685" s="4">
        <f>AVERAGE(Granger_Inventory[[#This Row],[qual_adj]:[living_range_adj]])</f>
        <v>1</v>
      </c>
      <c r="BW685" s="8">
        <f>(Granger_Inventory[[#This Row],[sum_land]]-IF(Granger_Inventory[[#This Row],[no_utilities]]=1,12000,0))/IF(Granger_Inventory[[#This Row],[unbuildable]]=1,2,1)</f>
        <v>15689.858642911939</v>
      </c>
      <c r="BX685" s="8">
        <f>Granger_Inventory[[#This Row],[pre_res]]*Granger_Inventory[[#This Row],[overall_adj]]</f>
        <v>0</v>
      </c>
      <c r="BY685">
        <f>IF(ROUND(Granger_Inventory[[#This Row],[adj_land]]*Lookups!$I$45,-2)&lt;Granger_Inventory[[#This Row],[min_land]],Granger_Inventory[[#This Row],[min_land]],ROUND(Granger_Inventory[[#This Row],[adj_land]]*Lookups!$I$45,-2))</f>
        <v>14900</v>
      </c>
      <c r="BZ685">
        <f>ROUND(Granger_Inventory[[#This Row],[detatched_value]]*Lookups!$I$45,-2)</f>
        <v>0</v>
      </c>
      <c r="CA68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5">
        <f>Granger_Inventory[[#This Row],[final_det]]+Granger_Inventory[[#This Row],[final_res]]</f>
        <v>0</v>
      </c>
      <c r="CC685">
        <f>Granger_Inventory[[#This Row],[final_land]]+Granger_Inventory[[#This Row],[final_imp]]+Granger_Inventory[[#This Row],[crop_value]]</f>
        <v>14900</v>
      </c>
      <c r="CE685" t="str">
        <f t="shared" si="11"/>
        <v>update valuation set market_land =14900, market_bldg=0, market_total =14900, market_mdno =402, market_date ='9/10/2023' where link_id = (select link_id from parcel where parcel_year = '2024' and parcel_id = '21102111517');</v>
      </c>
    </row>
    <row r="686" spans="1:83" x14ac:dyDescent="0.25">
      <c r="A686">
        <v>21102111524</v>
      </c>
      <c r="B686">
        <v>0.15</v>
      </c>
      <c r="C686">
        <v>6533</v>
      </c>
      <c r="D686" t="s">
        <v>137</v>
      </c>
      <c r="E686" t="s">
        <v>54</v>
      </c>
      <c r="F686" t="s">
        <v>54</v>
      </c>
      <c r="G686">
        <v>3</v>
      </c>
      <c r="H686" t="s">
        <v>55</v>
      </c>
      <c r="I686">
        <v>0</v>
      </c>
      <c r="J686">
        <v>25800</v>
      </c>
      <c r="K686">
        <v>0.15</v>
      </c>
      <c r="L686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686">
        <v>0</v>
      </c>
      <c r="N686">
        <v>0</v>
      </c>
      <c r="O686">
        <v>0</v>
      </c>
      <c r="P686">
        <v>47108.068500000001</v>
      </c>
      <c r="Q686">
        <v>122298</v>
      </c>
      <c r="R686">
        <f>(Granger_Inventory[[#This Row],[ln_acres]]*Granger_Inventory[[#This Row],[coeff]])+Granger_Inventory[[#This Row],[const]]</f>
        <v>32928.341799276939</v>
      </c>
      <c r="AY686">
        <v>0</v>
      </c>
      <c r="AZ686">
        <v>0</v>
      </c>
      <c r="BE686">
        <v>0</v>
      </c>
      <c r="BF686">
        <v>15000</v>
      </c>
      <c r="BG686">
        <v>0</v>
      </c>
      <c r="BH686" s="8">
        <f>Granger_Inventory[[#This Row],[land_extract]]*Lookups!$B$3</f>
        <v>19616.42740275669</v>
      </c>
      <c r="BI686" s="8">
        <f>IF(Granger_Inventory[[#This Row],[bldg_style]]="",0,Lookups!$B$2)</f>
        <v>0</v>
      </c>
      <c r="BJ686" s="8">
        <f>_xlfn.IFNA(VLOOKUP(Granger_Inventory[[#This Row],[quality]],Lookups!$H$2:$J$14,3,FALSE),0)</f>
        <v>0</v>
      </c>
      <c r="BK686" s="8">
        <f>_xlfn.IFNA(VLOOKUP(Granger_Inventory[[#This Row],[condition]],Lookups!$H$17:$J$24,3,FALSE),0)</f>
        <v>0</v>
      </c>
      <c r="BL686" s="8">
        <f>Granger_Inventory[[#This Row],[Age]]*Lookups!$B$16</f>
        <v>0</v>
      </c>
      <c r="BM686" s="8">
        <f>Granger_Inventory[[#This Row],[living_area]]*Lookups!$B$17</f>
        <v>0</v>
      </c>
      <c r="BN686" s="8">
        <f>(Granger_Inventory[[#This Row],[att_gar]]+Granger_Inventory[[#This Row],[blt_gar]])*Lookups!$B$18</f>
        <v>0</v>
      </c>
      <c r="BO686" s="8">
        <f>Granger_Inventory[[#This Row],[Patio]]*Lookups!$B$19</f>
        <v>0</v>
      </c>
      <c r="BP686" s="8">
        <f>SUM(Granger_Inventory[[#This Row],[Intercept]:[Patio_Value]])*Granger_Inventory[[#This Row],[res_pct]]</f>
        <v>0</v>
      </c>
      <c r="BQ686" s="8">
        <f>Granger_Inventory[[#This Row],[land_value]]</f>
        <v>19616.42740275669</v>
      </c>
      <c r="BR686" s="4">
        <f>_xlfn.IFNA(VLOOKUP(Granger_Inventory[[#This Row],[quality]],Lookups!$A$25:$C$35,3,FALSE),1)</f>
        <v>1</v>
      </c>
      <c r="BS686" s="4">
        <f>_xlfn.IFNA(VLOOKUP(Granger_Inventory[[#This Row],[condition]],Lookups!$A$38:$C$45,3,FALSE),1)</f>
        <v>1</v>
      </c>
      <c r="BT686" s="4">
        <f>IF(Granger_Inventory[[#This Row],[decade]]="",1,_xlfn.IFNA(VLOOKUP(Granger_Inventory[[#This Row],[decade]],Lookups!$G$28:$I$42,3,FALSE),1))</f>
        <v>1</v>
      </c>
      <c r="BU686" s="4">
        <f>_xlfn.IFNA(VLOOKUP(Granger_Inventory[[#This Row],[living_area_range]],Lookups!$A$48:$C$57,3,FALSE),1)</f>
        <v>1</v>
      </c>
      <c r="BV686" s="4">
        <f>AVERAGE(Granger_Inventory[[#This Row],[qual_adj]:[living_range_adj]])</f>
        <v>1</v>
      </c>
      <c r="BW686" s="8">
        <f>(Granger_Inventory[[#This Row],[sum_land]]-IF(Granger_Inventory[[#This Row],[no_utilities]]=1,12000,0))/IF(Granger_Inventory[[#This Row],[unbuildable]]=1,2,1)</f>
        <v>19616.42740275669</v>
      </c>
      <c r="BX686" s="8">
        <f>Granger_Inventory[[#This Row],[pre_res]]*Granger_Inventory[[#This Row],[overall_adj]]</f>
        <v>0</v>
      </c>
      <c r="BY686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686">
        <f>ROUND(Granger_Inventory[[#This Row],[detatched_value]]*Lookups!$I$45,-2)</f>
        <v>0</v>
      </c>
      <c r="CA68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6">
        <f>Granger_Inventory[[#This Row],[final_det]]+Granger_Inventory[[#This Row],[final_res]]</f>
        <v>0</v>
      </c>
      <c r="CC686">
        <f>Granger_Inventory[[#This Row],[final_land]]+Granger_Inventory[[#This Row],[final_imp]]+Granger_Inventory[[#This Row],[crop_value]]</f>
        <v>18600</v>
      </c>
      <c r="CE686" t="str">
        <f t="shared" si="11"/>
        <v>update valuation set market_land =18600, market_bldg=0, market_total =18600, market_mdno =402, market_date ='9/10/2023' where link_id = (select link_id from parcel where parcel_year = '2024' and parcel_id = '21102111524');</v>
      </c>
    </row>
    <row r="687" spans="1:83" x14ac:dyDescent="0.25">
      <c r="A687">
        <v>21102111528</v>
      </c>
      <c r="B687">
        <v>0.47</v>
      </c>
      <c r="C687">
        <v>20671</v>
      </c>
      <c r="D687" t="s">
        <v>137</v>
      </c>
      <c r="E687" t="s">
        <v>54</v>
      </c>
      <c r="F687" t="s">
        <v>54</v>
      </c>
      <c r="G687">
        <v>3</v>
      </c>
      <c r="H687" t="s">
        <v>55</v>
      </c>
      <c r="I687">
        <v>0</v>
      </c>
      <c r="J687">
        <v>32400</v>
      </c>
      <c r="K687">
        <v>0.47</v>
      </c>
      <c r="L687">
        <f>IF(Granger_Inventory[[#This Row],[parcel_acres]]-Granger_Inventory[[#This Row],[non_valued_acres]] =0,0,LN(Granger_Inventory[[#This Row],[parcel_acres]]-Granger_Inventory[[#This Row],[non_valued_acres]]))</f>
        <v>-0.75502258427803282</v>
      </c>
      <c r="M687">
        <v>0</v>
      </c>
      <c r="N687">
        <v>0</v>
      </c>
      <c r="O687">
        <v>0</v>
      </c>
      <c r="P687">
        <v>47108.068500000001</v>
      </c>
      <c r="Q687">
        <v>122298</v>
      </c>
      <c r="R687">
        <f>(Granger_Inventory[[#This Row],[ln_acres]]*Granger_Inventory[[#This Row],[coeff]])+Granger_Inventory[[#This Row],[const]]</f>
        <v>86730.344380783412</v>
      </c>
      <c r="AY687">
        <v>0</v>
      </c>
      <c r="AZ687">
        <v>0</v>
      </c>
      <c r="BE687">
        <v>0</v>
      </c>
      <c r="BF687">
        <v>15000</v>
      </c>
      <c r="BG687">
        <v>0</v>
      </c>
      <c r="BH687" s="8">
        <f>Granger_Inventory[[#This Row],[land_extract]]*Lookups!$B$3</f>
        <v>51667.937442239607</v>
      </c>
      <c r="BI687" s="8">
        <f>IF(Granger_Inventory[[#This Row],[bldg_style]]="",0,Lookups!$B$2)</f>
        <v>0</v>
      </c>
      <c r="BJ687" s="8">
        <f>_xlfn.IFNA(VLOOKUP(Granger_Inventory[[#This Row],[quality]],Lookups!$H$2:$J$14,3,FALSE),0)</f>
        <v>0</v>
      </c>
      <c r="BK687" s="8">
        <f>_xlfn.IFNA(VLOOKUP(Granger_Inventory[[#This Row],[condition]],Lookups!$H$17:$J$24,3,FALSE),0)</f>
        <v>0</v>
      </c>
      <c r="BL687" s="8">
        <f>Granger_Inventory[[#This Row],[Age]]*Lookups!$B$16</f>
        <v>0</v>
      </c>
      <c r="BM687" s="8">
        <f>Granger_Inventory[[#This Row],[living_area]]*Lookups!$B$17</f>
        <v>0</v>
      </c>
      <c r="BN687" s="8">
        <f>(Granger_Inventory[[#This Row],[att_gar]]+Granger_Inventory[[#This Row],[blt_gar]])*Lookups!$B$18</f>
        <v>0</v>
      </c>
      <c r="BO687" s="8">
        <f>Granger_Inventory[[#This Row],[Patio]]*Lookups!$B$19</f>
        <v>0</v>
      </c>
      <c r="BP687" s="8">
        <f>SUM(Granger_Inventory[[#This Row],[Intercept]:[Patio_Value]])*Granger_Inventory[[#This Row],[res_pct]]</f>
        <v>0</v>
      </c>
      <c r="BQ687" s="8">
        <f>Granger_Inventory[[#This Row],[land_value]]</f>
        <v>51667.937442239607</v>
      </c>
      <c r="BR687" s="4">
        <f>_xlfn.IFNA(VLOOKUP(Granger_Inventory[[#This Row],[quality]],Lookups!$A$25:$C$35,3,FALSE),1)</f>
        <v>1</v>
      </c>
      <c r="BS687" s="4">
        <f>_xlfn.IFNA(VLOOKUP(Granger_Inventory[[#This Row],[condition]],Lookups!$A$38:$C$45,3,FALSE),1)</f>
        <v>1</v>
      </c>
      <c r="BT687" s="4">
        <f>IF(Granger_Inventory[[#This Row],[decade]]="",1,_xlfn.IFNA(VLOOKUP(Granger_Inventory[[#This Row],[decade]],Lookups!$G$28:$I$42,3,FALSE),1))</f>
        <v>1</v>
      </c>
      <c r="BU687" s="4">
        <f>_xlfn.IFNA(VLOOKUP(Granger_Inventory[[#This Row],[living_area_range]],Lookups!$A$48:$C$57,3,FALSE),1)</f>
        <v>1</v>
      </c>
      <c r="BV687" s="4">
        <f>AVERAGE(Granger_Inventory[[#This Row],[qual_adj]:[living_range_adj]])</f>
        <v>1</v>
      </c>
      <c r="BW687" s="8">
        <f>(Granger_Inventory[[#This Row],[sum_land]]-IF(Granger_Inventory[[#This Row],[no_utilities]]=1,12000,0))/IF(Granger_Inventory[[#This Row],[unbuildable]]=1,2,1)</f>
        <v>51667.937442239607</v>
      </c>
      <c r="BX687" s="8">
        <f>Granger_Inventory[[#This Row],[pre_res]]*Granger_Inventory[[#This Row],[overall_adj]]</f>
        <v>0</v>
      </c>
      <c r="BY687">
        <f>IF(ROUND(Granger_Inventory[[#This Row],[adj_land]]*Lookups!$I$45,-2)&lt;Granger_Inventory[[#This Row],[min_land]],Granger_Inventory[[#This Row],[min_land]],ROUND(Granger_Inventory[[#This Row],[adj_land]]*Lookups!$I$45,-2))</f>
        <v>49100</v>
      </c>
      <c r="BZ687">
        <f>ROUND(Granger_Inventory[[#This Row],[detatched_value]]*Lookups!$I$45,-2)</f>
        <v>0</v>
      </c>
      <c r="CA68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7">
        <f>Granger_Inventory[[#This Row],[final_det]]+Granger_Inventory[[#This Row],[final_res]]</f>
        <v>0</v>
      </c>
      <c r="CC687">
        <f>Granger_Inventory[[#This Row],[final_land]]+Granger_Inventory[[#This Row],[final_imp]]+Granger_Inventory[[#This Row],[crop_value]]</f>
        <v>49100</v>
      </c>
      <c r="CE687" t="str">
        <f t="shared" si="11"/>
        <v>update valuation set market_land =49100, market_bldg=0, market_total =49100, market_mdno =402, market_date ='9/10/2023' where link_id = (select link_id from parcel where parcel_year = '2024' and parcel_id = '21102111528');</v>
      </c>
    </row>
    <row r="688" spans="1:83" x14ac:dyDescent="0.25">
      <c r="A688">
        <v>21102112435</v>
      </c>
      <c r="B688">
        <v>0.21</v>
      </c>
      <c r="C688">
        <v>9000</v>
      </c>
      <c r="D688" t="s">
        <v>137</v>
      </c>
      <c r="E688" t="s">
        <v>54</v>
      </c>
      <c r="F688" t="s">
        <v>54</v>
      </c>
      <c r="G688">
        <v>3</v>
      </c>
      <c r="H688" t="s">
        <v>55</v>
      </c>
      <c r="I688">
        <v>0</v>
      </c>
      <c r="J688">
        <v>27700</v>
      </c>
      <c r="K688">
        <v>0.21</v>
      </c>
      <c r="L688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688">
        <v>0</v>
      </c>
      <c r="N688">
        <v>0</v>
      </c>
      <c r="O688">
        <v>0</v>
      </c>
      <c r="P688">
        <v>47108.068500000001</v>
      </c>
      <c r="Q688">
        <v>122298</v>
      </c>
      <c r="R688">
        <f>(Granger_Inventory[[#This Row],[ln_acres]]*Granger_Inventory[[#This Row],[coeff]])+Granger_Inventory[[#This Row],[const]]</f>
        <v>48778.898970377239</v>
      </c>
      <c r="AY688">
        <v>0</v>
      </c>
      <c r="AZ688">
        <v>0</v>
      </c>
      <c r="BE688">
        <v>0</v>
      </c>
      <c r="BF688">
        <v>15000</v>
      </c>
      <c r="BG688">
        <v>0</v>
      </c>
      <c r="BH688" s="8">
        <f>Granger_Inventory[[#This Row],[land_extract]]*Lookups!$B$3</f>
        <v>29059.09250674201</v>
      </c>
      <c r="BI688" s="8">
        <f>IF(Granger_Inventory[[#This Row],[bldg_style]]="",0,Lookups!$B$2)</f>
        <v>0</v>
      </c>
      <c r="BJ688" s="8">
        <f>_xlfn.IFNA(VLOOKUP(Granger_Inventory[[#This Row],[quality]],Lookups!$H$2:$J$14,3,FALSE),0)</f>
        <v>0</v>
      </c>
      <c r="BK688" s="8">
        <f>_xlfn.IFNA(VLOOKUP(Granger_Inventory[[#This Row],[condition]],Lookups!$H$17:$J$24,3,FALSE),0)</f>
        <v>0</v>
      </c>
      <c r="BL688" s="8">
        <f>Granger_Inventory[[#This Row],[Age]]*Lookups!$B$16</f>
        <v>0</v>
      </c>
      <c r="BM688" s="8">
        <f>Granger_Inventory[[#This Row],[living_area]]*Lookups!$B$17</f>
        <v>0</v>
      </c>
      <c r="BN688" s="8">
        <f>(Granger_Inventory[[#This Row],[att_gar]]+Granger_Inventory[[#This Row],[blt_gar]])*Lookups!$B$18</f>
        <v>0</v>
      </c>
      <c r="BO688" s="8">
        <f>Granger_Inventory[[#This Row],[Patio]]*Lookups!$B$19</f>
        <v>0</v>
      </c>
      <c r="BP688" s="8">
        <f>SUM(Granger_Inventory[[#This Row],[Intercept]:[Patio_Value]])*Granger_Inventory[[#This Row],[res_pct]]</f>
        <v>0</v>
      </c>
      <c r="BQ688" s="8">
        <f>Granger_Inventory[[#This Row],[land_value]]</f>
        <v>29059.09250674201</v>
      </c>
      <c r="BR688" s="4">
        <f>_xlfn.IFNA(VLOOKUP(Granger_Inventory[[#This Row],[quality]],Lookups!$A$25:$C$35,3,FALSE),1)</f>
        <v>1</v>
      </c>
      <c r="BS688" s="4">
        <f>_xlfn.IFNA(VLOOKUP(Granger_Inventory[[#This Row],[condition]],Lookups!$A$38:$C$45,3,FALSE),1)</f>
        <v>1</v>
      </c>
      <c r="BT688" s="4">
        <f>IF(Granger_Inventory[[#This Row],[decade]]="",1,_xlfn.IFNA(VLOOKUP(Granger_Inventory[[#This Row],[decade]],Lookups!$G$28:$I$42,3,FALSE),1))</f>
        <v>1</v>
      </c>
      <c r="BU688" s="4">
        <f>_xlfn.IFNA(VLOOKUP(Granger_Inventory[[#This Row],[living_area_range]],Lookups!$A$48:$C$57,3,FALSE),1)</f>
        <v>1</v>
      </c>
      <c r="BV688" s="4">
        <f>AVERAGE(Granger_Inventory[[#This Row],[qual_adj]:[living_range_adj]])</f>
        <v>1</v>
      </c>
      <c r="BW688" s="8">
        <f>(Granger_Inventory[[#This Row],[sum_land]]-IF(Granger_Inventory[[#This Row],[no_utilities]]=1,12000,0))/IF(Granger_Inventory[[#This Row],[unbuildable]]=1,2,1)</f>
        <v>29059.09250674201</v>
      </c>
      <c r="BX688" s="8">
        <f>Granger_Inventory[[#This Row],[pre_res]]*Granger_Inventory[[#This Row],[overall_adj]]</f>
        <v>0</v>
      </c>
      <c r="BY688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688">
        <f>ROUND(Granger_Inventory[[#This Row],[detatched_value]]*Lookups!$I$45,-2)</f>
        <v>0</v>
      </c>
      <c r="CA68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8">
        <f>Granger_Inventory[[#This Row],[final_det]]+Granger_Inventory[[#This Row],[final_res]]</f>
        <v>0</v>
      </c>
      <c r="CC688">
        <f>Granger_Inventory[[#This Row],[final_land]]+Granger_Inventory[[#This Row],[final_imp]]+Granger_Inventory[[#This Row],[crop_value]]</f>
        <v>27600</v>
      </c>
      <c r="CE688" t="str">
        <f t="shared" si="11"/>
        <v>update valuation set market_land =27600, market_bldg=0, market_total =27600, market_mdno =402, market_date ='9/10/2023' where link_id = (select link_id from parcel where parcel_year = '2024' and parcel_id = '21102112435');</v>
      </c>
    </row>
    <row r="689" spans="1:83" x14ac:dyDescent="0.25">
      <c r="A689">
        <v>21102113423</v>
      </c>
      <c r="B689">
        <v>0.05</v>
      </c>
      <c r="C689">
        <v>2000</v>
      </c>
      <c r="D689" t="s">
        <v>137</v>
      </c>
      <c r="E689" t="s">
        <v>54</v>
      </c>
      <c r="F689" t="s">
        <v>54</v>
      </c>
      <c r="G689">
        <v>3</v>
      </c>
      <c r="H689" t="s">
        <v>55</v>
      </c>
      <c r="I689">
        <v>0</v>
      </c>
      <c r="J689">
        <v>1000</v>
      </c>
      <c r="K689">
        <v>0.05</v>
      </c>
      <c r="L689">
        <f>IF(Granger_Inventory[[#This Row],[parcel_acres]]-Granger_Inventory[[#This Row],[non_valued_acres]] =0,0,LN(Granger_Inventory[[#This Row],[parcel_acres]]-Granger_Inventory[[#This Row],[non_valued_acres]]))</f>
        <v>-2.9957322735539909</v>
      </c>
      <c r="M689">
        <v>0</v>
      </c>
      <c r="N689">
        <v>0</v>
      </c>
      <c r="O689">
        <v>0</v>
      </c>
      <c r="P689">
        <v>47108.068500000001</v>
      </c>
      <c r="Q689">
        <v>122298</v>
      </c>
      <c r="R689">
        <f>(Granger_Inventory[[#This Row],[ln_acres]]*Granger_Inventory[[#This Row],[coeff]])+Granger_Inventory[[#This Row],[const]]</f>
        <v>-18825.161150242144</v>
      </c>
      <c r="AY689">
        <v>0</v>
      </c>
      <c r="AZ689">
        <v>0</v>
      </c>
      <c r="BE689">
        <v>0</v>
      </c>
      <c r="BF689">
        <v>15000</v>
      </c>
      <c r="BG689">
        <v>0</v>
      </c>
      <c r="BH689" s="8">
        <f>Granger_Inventory[[#This Row],[land_extract]]*Lookups!$B$3</f>
        <v>-11214.728312162673</v>
      </c>
      <c r="BI689" s="8">
        <f>IF(Granger_Inventory[[#This Row],[bldg_style]]="",0,Lookups!$B$2)</f>
        <v>0</v>
      </c>
      <c r="BJ689" s="8">
        <f>_xlfn.IFNA(VLOOKUP(Granger_Inventory[[#This Row],[quality]],Lookups!$H$2:$J$14,3,FALSE),0)</f>
        <v>0</v>
      </c>
      <c r="BK689" s="8">
        <f>_xlfn.IFNA(VLOOKUP(Granger_Inventory[[#This Row],[condition]],Lookups!$H$17:$J$24,3,FALSE),0)</f>
        <v>0</v>
      </c>
      <c r="BL689" s="8">
        <f>Granger_Inventory[[#This Row],[Age]]*Lookups!$B$16</f>
        <v>0</v>
      </c>
      <c r="BM689" s="8">
        <f>Granger_Inventory[[#This Row],[living_area]]*Lookups!$B$17</f>
        <v>0</v>
      </c>
      <c r="BN689" s="8">
        <f>(Granger_Inventory[[#This Row],[att_gar]]+Granger_Inventory[[#This Row],[blt_gar]])*Lookups!$B$18</f>
        <v>0</v>
      </c>
      <c r="BO689" s="8">
        <f>Granger_Inventory[[#This Row],[Patio]]*Lookups!$B$19</f>
        <v>0</v>
      </c>
      <c r="BP689" s="8">
        <f>SUM(Granger_Inventory[[#This Row],[Intercept]:[Patio_Value]])*Granger_Inventory[[#This Row],[res_pct]]</f>
        <v>0</v>
      </c>
      <c r="BQ689" s="8">
        <f>Granger_Inventory[[#This Row],[land_value]]</f>
        <v>-11214.728312162673</v>
      </c>
      <c r="BR689" s="4">
        <f>_xlfn.IFNA(VLOOKUP(Granger_Inventory[[#This Row],[quality]],Lookups!$A$25:$C$35,3,FALSE),1)</f>
        <v>1</v>
      </c>
      <c r="BS689" s="4">
        <f>_xlfn.IFNA(VLOOKUP(Granger_Inventory[[#This Row],[condition]],Lookups!$A$38:$C$45,3,FALSE),1)</f>
        <v>1</v>
      </c>
      <c r="BT689" s="4">
        <f>IF(Granger_Inventory[[#This Row],[decade]]="",1,_xlfn.IFNA(VLOOKUP(Granger_Inventory[[#This Row],[decade]],Lookups!$G$28:$I$42,3,FALSE),1))</f>
        <v>1</v>
      </c>
      <c r="BU689" s="4">
        <f>_xlfn.IFNA(VLOOKUP(Granger_Inventory[[#This Row],[living_area_range]],Lookups!$A$48:$C$57,3,FALSE),1)</f>
        <v>1</v>
      </c>
      <c r="BV689" s="4">
        <f>AVERAGE(Granger_Inventory[[#This Row],[qual_adj]:[living_range_adj]])</f>
        <v>1</v>
      </c>
      <c r="BW689" s="8">
        <f>(Granger_Inventory[[#This Row],[sum_land]]-IF(Granger_Inventory[[#This Row],[no_utilities]]=1,12000,0))/IF(Granger_Inventory[[#This Row],[unbuildable]]=1,2,1)</f>
        <v>-11214.728312162673</v>
      </c>
      <c r="BX689" s="8">
        <f>Granger_Inventory[[#This Row],[pre_res]]*Granger_Inventory[[#This Row],[overall_adj]]</f>
        <v>0</v>
      </c>
      <c r="BY689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689">
        <f>ROUND(Granger_Inventory[[#This Row],[detatched_value]]*Lookups!$I$45,-2)</f>
        <v>0</v>
      </c>
      <c r="CA68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89">
        <f>Granger_Inventory[[#This Row],[final_det]]+Granger_Inventory[[#This Row],[final_res]]</f>
        <v>0</v>
      </c>
      <c r="CC689">
        <f>Granger_Inventory[[#This Row],[final_land]]+Granger_Inventory[[#This Row],[final_imp]]+Granger_Inventory[[#This Row],[crop_value]]</f>
        <v>15000</v>
      </c>
      <c r="CE689" t="str">
        <f t="shared" si="11"/>
        <v>update valuation set market_land =15000, market_bldg=0, market_total =15000, market_mdno =402, market_date ='9/10/2023' where link_id = (select link_id from parcel where parcel_year = '2024' and parcel_id = '21102113423');</v>
      </c>
    </row>
    <row r="690" spans="1:83" x14ac:dyDescent="0.25">
      <c r="A690">
        <v>21102113472</v>
      </c>
      <c r="B690">
        <v>0.18</v>
      </c>
      <c r="C690">
        <v>8042</v>
      </c>
      <c r="D690" t="s">
        <v>137</v>
      </c>
      <c r="E690" t="s">
        <v>54</v>
      </c>
      <c r="F690" t="s">
        <v>54</v>
      </c>
      <c r="G690">
        <v>3</v>
      </c>
      <c r="H690" t="s">
        <v>55</v>
      </c>
      <c r="I690">
        <v>0</v>
      </c>
      <c r="J690">
        <v>26800</v>
      </c>
      <c r="K690">
        <v>0.18</v>
      </c>
      <c r="L690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690">
        <v>0</v>
      </c>
      <c r="N690">
        <v>0</v>
      </c>
      <c r="O690">
        <v>0</v>
      </c>
      <c r="P690">
        <v>47108.068500000001</v>
      </c>
      <c r="Q690">
        <v>122298</v>
      </c>
      <c r="R690">
        <f>(Granger_Inventory[[#This Row],[ln_acres]]*Granger_Inventory[[#This Row],[coeff]])+Granger_Inventory[[#This Row],[const]]</f>
        <v>41517.1581857532</v>
      </c>
      <c r="AY690">
        <v>0</v>
      </c>
      <c r="AZ690">
        <v>0</v>
      </c>
      <c r="BE690">
        <v>0</v>
      </c>
      <c r="BF690">
        <v>15000</v>
      </c>
      <c r="BG690">
        <v>0</v>
      </c>
      <c r="BH690" s="8">
        <f>Granger_Inventory[[#This Row],[land_extract]]*Lookups!$B$3</f>
        <v>24733.049859725303</v>
      </c>
      <c r="BI690" s="8">
        <f>IF(Granger_Inventory[[#This Row],[bldg_style]]="",0,Lookups!$B$2)</f>
        <v>0</v>
      </c>
      <c r="BJ690" s="8">
        <f>_xlfn.IFNA(VLOOKUP(Granger_Inventory[[#This Row],[quality]],Lookups!$H$2:$J$14,3,FALSE),0)</f>
        <v>0</v>
      </c>
      <c r="BK690" s="8">
        <f>_xlfn.IFNA(VLOOKUP(Granger_Inventory[[#This Row],[condition]],Lookups!$H$17:$J$24,3,FALSE),0)</f>
        <v>0</v>
      </c>
      <c r="BL690" s="8">
        <f>Granger_Inventory[[#This Row],[Age]]*Lookups!$B$16</f>
        <v>0</v>
      </c>
      <c r="BM690" s="8">
        <f>Granger_Inventory[[#This Row],[living_area]]*Lookups!$B$17</f>
        <v>0</v>
      </c>
      <c r="BN690" s="8">
        <f>(Granger_Inventory[[#This Row],[att_gar]]+Granger_Inventory[[#This Row],[blt_gar]])*Lookups!$B$18</f>
        <v>0</v>
      </c>
      <c r="BO690" s="8">
        <f>Granger_Inventory[[#This Row],[Patio]]*Lookups!$B$19</f>
        <v>0</v>
      </c>
      <c r="BP690" s="8">
        <f>SUM(Granger_Inventory[[#This Row],[Intercept]:[Patio_Value]])*Granger_Inventory[[#This Row],[res_pct]]</f>
        <v>0</v>
      </c>
      <c r="BQ690" s="8">
        <f>Granger_Inventory[[#This Row],[land_value]]</f>
        <v>24733.049859725303</v>
      </c>
      <c r="BR690" s="4">
        <f>_xlfn.IFNA(VLOOKUP(Granger_Inventory[[#This Row],[quality]],Lookups!$A$25:$C$35,3,FALSE),1)</f>
        <v>1</v>
      </c>
      <c r="BS690" s="4">
        <f>_xlfn.IFNA(VLOOKUP(Granger_Inventory[[#This Row],[condition]],Lookups!$A$38:$C$45,3,FALSE),1)</f>
        <v>1</v>
      </c>
      <c r="BT690" s="4">
        <f>IF(Granger_Inventory[[#This Row],[decade]]="",1,_xlfn.IFNA(VLOOKUP(Granger_Inventory[[#This Row],[decade]],Lookups!$G$28:$I$42,3,FALSE),1))</f>
        <v>1</v>
      </c>
      <c r="BU690" s="4">
        <f>_xlfn.IFNA(VLOOKUP(Granger_Inventory[[#This Row],[living_area_range]],Lookups!$A$48:$C$57,3,FALSE),1)</f>
        <v>1</v>
      </c>
      <c r="BV690" s="4">
        <f>AVERAGE(Granger_Inventory[[#This Row],[qual_adj]:[living_range_adj]])</f>
        <v>1</v>
      </c>
      <c r="BW690" s="8">
        <f>(Granger_Inventory[[#This Row],[sum_land]]-IF(Granger_Inventory[[#This Row],[no_utilities]]=1,12000,0))/IF(Granger_Inventory[[#This Row],[unbuildable]]=1,2,1)</f>
        <v>24733.049859725303</v>
      </c>
      <c r="BX690" s="8">
        <f>Granger_Inventory[[#This Row],[pre_res]]*Granger_Inventory[[#This Row],[overall_adj]]</f>
        <v>0</v>
      </c>
      <c r="BY690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690">
        <f>ROUND(Granger_Inventory[[#This Row],[detatched_value]]*Lookups!$I$45,-2)</f>
        <v>0</v>
      </c>
      <c r="CA69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0">
        <f>Granger_Inventory[[#This Row],[final_det]]+Granger_Inventory[[#This Row],[final_res]]</f>
        <v>0</v>
      </c>
      <c r="CC690">
        <f>Granger_Inventory[[#This Row],[final_land]]+Granger_Inventory[[#This Row],[final_imp]]+Granger_Inventory[[#This Row],[crop_value]]</f>
        <v>23500</v>
      </c>
      <c r="CE690" t="str">
        <f t="shared" si="11"/>
        <v>update valuation set market_land =23500, market_bldg=0, market_total =23500, market_mdno =402, market_date ='9/10/2023' where link_id = (select link_id from parcel where parcel_year = '2024' and parcel_id = '21102113472');</v>
      </c>
    </row>
    <row r="691" spans="1:83" x14ac:dyDescent="0.25">
      <c r="A691">
        <v>21102113538</v>
      </c>
      <c r="B691">
        <v>0.14000000000000001</v>
      </c>
      <c r="C691">
        <v>6000</v>
      </c>
      <c r="D691" t="s">
        <v>137</v>
      </c>
      <c r="E691" t="s">
        <v>54</v>
      </c>
      <c r="F691" t="s">
        <v>54</v>
      </c>
      <c r="G691">
        <v>3</v>
      </c>
      <c r="H691" t="s">
        <v>55</v>
      </c>
      <c r="I691">
        <v>0</v>
      </c>
      <c r="J691">
        <v>25400</v>
      </c>
      <c r="K691">
        <v>0.14000000000000001</v>
      </c>
      <c r="L691">
        <f>IF(Granger_Inventory[[#This Row],[parcel_acres]]-Granger_Inventory[[#This Row],[non_valued_acres]] =0,0,LN(Granger_Inventory[[#This Row],[parcel_acres]]-Granger_Inventory[[#This Row],[non_valued_acres]]))</f>
        <v>-1.9661128563728327</v>
      </c>
      <c r="M691">
        <v>0</v>
      </c>
      <c r="N691">
        <v>0</v>
      </c>
      <c r="O691">
        <v>0</v>
      </c>
      <c r="P691">
        <v>47108.068500000001</v>
      </c>
      <c r="Q691">
        <v>122298</v>
      </c>
      <c r="R691">
        <f>(Granger_Inventory[[#This Row],[ln_acres]]*Granger_Inventory[[#This Row],[coeff]])+Granger_Inventory[[#This Row],[const]]</f>
        <v>29678.220883257934</v>
      </c>
      <c r="AY691">
        <v>0</v>
      </c>
      <c r="AZ691">
        <v>0</v>
      </c>
      <c r="BE691">
        <v>0</v>
      </c>
      <c r="BF691">
        <v>15000</v>
      </c>
      <c r="BG691">
        <v>0</v>
      </c>
      <c r="BH691" s="8">
        <f>Granger_Inventory[[#This Row],[land_extract]]*Lookups!$B$3</f>
        <v>17680.230269359956</v>
      </c>
      <c r="BI691" s="8">
        <f>IF(Granger_Inventory[[#This Row],[bldg_style]]="",0,Lookups!$B$2)</f>
        <v>0</v>
      </c>
      <c r="BJ691" s="8">
        <f>_xlfn.IFNA(VLOOKUP(Granger_Inventory[[#This Row],[quality]],Lookups!$H$2:$J$14,3,FALSE),0)</f>
        <v>0</v>
      </c>
      <c r="BK691" s="8">
        <f>_xlfn.IFNA(VLOOKUP(Granger_Inventory[[#This Row],[condition]],Lookups!$H$17:$J$24,3,FALSE),0)</f>
        <v>0</v>
      </c>
      <c r="BL691" s="8">
        <f>Granger_Inventory[[#This Row],[Age]]*Lookups!$B$16</f>
        <v>0</v>
      </c>
      <c r="BM691" s="8">
        <f>Granger_Inventory[[#This Row],[living_area]]*Lookups!$B$17</f>
        <v>0</v>
      </c>
      <c r="BN691" s="8">
        <f>(Granger_Inventory[[#This Row],[att_gar]]+Granger_Inventory[[#This Row],[blt_gar]])*Lookups!$B$18</f>
        <v>0</v>
      </c>
      <c r="BO691" s="8">
        <f>Granger_Inventory[[#This Row],[Patio]]*Lookups!$B$19</f>
        <v>0</v>
      </c>
      <c r="BP691" s="8">
        <f>SUM(Granger_Inventory[[#This Row],[Intercept]:[Patio_Value]])*Granger_Inventory[[#This Row],[res_pct]]</f>
        <v>0</v>
      </c>
      <c r="BQ691" s="8">
        <f>Granger_Inventory[[#This Row],[land_value]]</f>
        <v>17680.230269359956</v>
      </c>
      <c r="BR691" s="4">
        <f>_xlfn.IFNA(VLOOKUP(Granger_Inventory[[#This Row],[quality]],Lookups!$A$25:$C$35,3,FALSE),1)</f>
        <v>1</v>
      </c>
      <c r="BS691" s="4">
        <f>_xlfn.IFNA(VLOOKUP(Granger_Inventory[[#This Row],[condition]],Lookups!$A$38:$C$45,3,FALSE),1)</f>
        <v>1</v>
      </c>
      <c r="BT691" s="4">
        <f>IF(Granger_Inventory[[#This Row],[decade]]="",1,_xlfn.IFNA(VLOOKUP(Granger_Inventory[[#This Row],[decade]],Lookups!$G$28:$I$42,3,FALSE),1))</f>
        <v>1</v>
      </c>
      <c r="BU691" s="4">
        <f>_xlfn.IFNA(VLOOKUP(Granger_Inventory[[#This Row],[living_area_range]],Lookups!$A$48:$C$57,3,FALSE),1)</f>
        <v>1</v>
      </c>
      <c r="BV691" s="4">
        <f>AVERAGE(Granger_Inventory[[#This Row],[qual_adj]:[living_range_adj]])</f>
        <v>1</v>
      </c>
      <c r="BW691" s="8">
        <f>(Granger_Inventory[[#This Row],[sum_land]]-IF(Granger_Inventory[[#This Row],[no_utilities]]=1,12000,0))/IF(Granger_Inventory[[#This Row],[unbuildable]]=1,2,1)</f>
        <v>17680.230269359956</v>
      </c>
      <c r="BX691" s="8">
        <f>Granger_Inventory[[#This Row],[pre_res]]*Granger_Inventory[[#This Row],[overall_adj]]</f>
        <v>0</v>
      </c>
      <c r="BY691">
        <f>IF(ROUND(Granger_Inventory[[#This Row],[adj_land]]*Lookups!$I$45,-2)&lt;Granger_Inventory[[#This Row],[min_land]],Granger_Inventory[[#This Row],[min_land]],ROUND(Granger_Inventory[[#This Row],[adj_land]]*Lookups!$I$45,-2))</f>
        <v>16800</v>
      </c>
      <c r="BZ691">
        <f>ROUND(Granger_Inventory[[#This Row],[detatched_value]]*Lookups!$I$45,-2)</f>
        <v>0</v>
      </c>
      <c r="CA69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1">
        <f>Granger_Inventory[[#This Row],[final_det]]+Granger_Inventory[[#This Row],[final_res]]</f>
        <v>0</v>
      </c>
      <c r="CC691">
        <f>Granger_Inventory[[#This Row],[final_land]]+Granger_Inventory[[#This Row],[final_imp]]+Granger_Inventory[[#This Row],[crop_value]]</f>
        <v>16800</v>
      </c>
      <c r="CE691" t="str">
        <f t="shared" si="11"/>
        <v>update valuation set market_land =16800, market_bldg=0, market_total =16800, market_mdno =402, market_date ='9/10/2023' where link_id = (select link_id from parcel where parcel_year = '2024' and parcel_id = '21102113538');</v>
      </c>
    </row>
    <row r="692" spans="1:83" x14ac:dyDescent="0.25">
      <c r="A692">
        <v>21102113539</v>
      </c>
      <c r="B692">
        <v>0.2</v>
      </c>
      <c r="C692">
        <v>8749</v>
      </c>
      <c r="D692" t="s">
        <v>137</v>
      </c>
      <c r="E692" t="s">
        <v>54</v>
      </c>
      <c r="F692" t="s">
        <v>54</v>
      </c>
      <c r="G692">
        <v>3</v>
      </c>
      <c r="H692" t="s">
        <v>55</v>
      </c>
      <c r="I692">
        <v>0</v>
      </c>
      <c r="J692">
        <v>27500</v>
      </c>
      <c r="K692">
        <v>0.2</v>
      </c>
      <c r="L692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692">
        <v>0</v>
      </c>
      <c r="N692">
        <v>0</v>
      </c>
      <c r="O692">
        <v>0</v>
      </c>
      <c r="P692">
        <v>47108.068500000001</v>
      </c>
      <c r="Q692">
        <v>122298</v>
      </c>
      <c r="R692">
        <f>(Granger_Inventory[[#This Row],[ln_acres]]*Granger_Inventory[[#This Row],[coeff]])+Granger_Inventory[[#This Row],[const]]</f>
        <v>46480.488574557399</v>
      </c>
      <c r="AY692">
        <v>0</v>
      </c>
      <c r="AZ692">
        <v>0</v>
      </c>
      <c r="BE692">
        <v>0</v>
      </c>
      <c r="BF692">
        <v>15000</v>
      </c>
      <c r="BG692">
        <v>0</v>
      </c>
      <c r="BH692" s="8">
        <f>Granger_Inventory[[#This Row],[land_extract]]*Lookups!$B$3</f>
        <v>27689.858642911939</v>
      </c>
      <c r="BI692" s="8">
        <f>IF(Granger_Inventory[[#This Row],[bldg_style]]="",0,Lookups!$B$2)</f>
        <v>0</v>
      </c>
      <c r="BJ692" s="8">
        <f>_xlfn.IFNA(VLOOKUP(Granger_Inventory[[#This Row],[quality]],Lookups!$H$2:$J$14,3,FALSE),0)</f>
        <v>0</v>
      </c>
      <c r="BK692" s="8">
        <f>_xlfn.IFNA(VLOOKUP(Granger_Inventory[[#This Row],[condition]],Lookups!$H$17:$J$24,3,FALSE),0)</f>
        <v>0</v>
      </c>
      <c r="BL692" s="8">
        <f>Granger_Inventory[[#This Row],[Age]]*Lookups!$B$16</f>
        <v>0</v>
      </c>
      <c r="BM692" s="8">
        <f>Granger_Inventory[[#This Row],[living_area]]*Lookups!$B$17</f>
        <v>0</v>
      </c>
      <c r="BN692" s="8">
        <f>(Granger_Inventory[[#This Row],[att_gar]]+Granger_Inventory[[#This Row],[blt_gar]])*Lookups!$B$18</f>
        <v>0</v>
      </c>
      <c r="BO692" s="8">
        <f>Granger_Inventory[[#This Row],[Patio]]*Lookups!$B$19</f>
        <v>0</v>
      </c>
      <c r="BP692" s="8">
        <f>SUM(Granger_Inventory[[#This Row],[Intercept]:[Patio_Value]])*Granger_Inventory[[#This Row],[res_pct]]</f>
        <v>0</v>
      </c>
      <c r="BQ692" s="8">
        <f>Granger_Inventory[[#This Row],[land_value]]</f>
        <v>27689.858642911939</v>
      </c>
      <c r="BR692" s="4">
        <f>_xlfn.IFNA(VLOOKUP(Granger_Inventory[[#This Row],[quality]],Lookups!$A$25:$C$35,3,FALSE),1)</f>
        <v>1</v>
      </c>
      <c r="BS692" s="4">
        <f>_xlfn.IFNA(VLOOKUP(Granger_Inventory[[#This Row],[condition]],Lookups!$A$38:$C$45,3,FALSE),1)</f>
        <v>1</v>
      </c>
      <c r="BT692" s="4">
        <f>IF(Granger_Inventory[[#This Row],[decade]]="",1,_xlfn.IFNA(VLOOKUP(Granger_Inventory[[#This Row],[decade]],Lookups!$G$28:$I$42,3,FALSE),1))</f>
        <v>1</v>
      </c>
      <c r="BU692" s="4">
        <f>_xlfn.IFNA(VLOOKUP(Granger_Inventory[[#This Row],[living_area_range]],Lookups!$A$48:$C$57,3,FALSE),1)</f>
        <v>1</v>
      </c>
      <c r="BV692" s="4">
        <f>AVERAGE(Granger_Inventory[[#This Row],[qual_adj]:[living_range_adj]])</f>
        <v>1</v>
      </c>
      <c r="BW692" s="8">
        <f>(Granger_Inventory[[#This Row],[sum_land]]-IF(Granger_Inventory[[#This Row],[no_utilities]]=1,12000,0))/IF(Granger_Inventory[[#This Row],[unbuildable]]=1,2,1)</f>
        <v>27689.858642911939</v>
      </c>
      <c r="BX692" s="8">
        <f>Granger_Inventory[[#This Row],[pre_res]]*Granger_Inventory[[#This Row],[overall_adj]]</f>
        <v>0</v>
      </c>
      <c r="BY692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692">
        <f>ROUND(Granger_Inventory[[#This Row],[detatched_value]]*Lookups!$I$45,-2)</f>
        <v>0</v>
      </c>
      <c r="CA69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2">
        <f>Granger_Inventory[[#This Row],[final_det]]+Granger_Inventory[[#This Row],[final_res]]</f>
        <v>0</v>
      </c>
      <c r="CC692">
        <f>Granger_Inventory[[#This Row],[final_land]]+Granger_Inventory[[#This Row],[final_imp]]+Granger_Inventory[[#This Row],[crop_value]]</f>
        <v>26300</v>
      </c>
      <c r="CE692" t="str">
        <f t="shared" si="11"/>
        <v>update valuation set market_land =26300, market_bldg=0, market_total =26300, market_mdno =402, market_date ='9/10/2023' where link_id = (select link_id from parcel where parcel_year = '2024' and parcel_id = '21102113539');</v>
      </c>
    </row>
    <row r="693" spans="1:83" x14ac:dyDescent="0.25">
      <c r="A693">
        <v>21102113566</v>
      </c>
      <c r="B693">
        <v>0.18</v>
      </c>
      <c r="C693">
        <v>7789</v>
      </c>
      <c r="D693" t="s">
        <v>137</v>
      </c>
      <c r="E693" t="s">
        <v>54</v>
      </c>
      <c r="F693" t="s">
        <v>54</v>
      </c>
      <c r="G693">
        <v>3</v>
      </c>
      <c r="H693" t="s">
        <v>55</v>
      </c>
      <c r="I693">
        <v>0</v>
      </c>
      <c r="J693">
        <v>26800</v>
      </c>
      <c r="K693">
        <v>0.18</v>
      </c>
      <c r="L693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693">
        <v>0</v>
      </c>
      <c r="N693">
        <v>0</v>
      </c>
      <c r="O693">
        <v>0</v>
      </c>
      <c r="P693">
        <v>47108.068500000001</v>
      </c>
      <c r="Q693">
        <v>122298</v>
      </c>
      <c r="R693">
        <f>(Granger_Inventory[[#This Row],[ln_acres]]*Granger_Inventory[[#This Row],[coeff]])+Granger_Inventory[[#This Row],[const]]</f>
        <v>41517.1581857532</v>
      </c>
      <c r="AY693">
        <v>0</v>
      </c>
      <c r="AZ693">
        <v>0</v>
      </c>
      <c r="BE693">
        <v>0</v>
      </c>
      <c r="BF693">
        <v>15000</v>
      </c>
      <c r="BG693">
        <v>0</v>
      </c>
      <c r="BH693" s="8">
        <f>Granger_Inventory[[#This Row],[land_extract]]*Lookups!$B$3</f>
        <v>24733.049859725303</v>
      </c>
      <c r="BI693" s="8">
        <f>IF(Granger_Inventory[[#This Row],[bldg_style]]="",0,Lookups!$B$2)</f>
        <v>0</v>
      </c>
      <c r="BJ693" s="8">
        <f>_xlfn.IFNA(VLOOKUP(Granger_Inventory[[#This Row],[quality]],Lookups!$H$2:$J$14,3,FALSE),0)</f>
        <v>0</v>
      </c>
      <c r="BK693" s="8">
        <f>_xlfn.IFNA(VLOOKUP(Granger_Inventory[[#This Row],[condition]],Lookups!$H$17:$J$24,3,FALSE),0)</f>
        <v>0</v>
      </c>
      <c r="BL693" s="8">
        <f>Granger_Inventory[[#This Row],[Age]]*Lookups!$B$16</f>
        <v>0</v>
      </c>
      <c r="BM693" s="8">
        <f>Granger_Inventory[[#This Row],[living_area]]*Lookups!$B$17</f>
        <v>0</v>
      </c>
      <c r="BN693" s="8">
        <f>(Granger_Inventory[[#This Row],[att_gar]]+Granger_Inventory[[#This Row],[blt_gar]])*Lookups!$B$18</f>
        <v>0</v>
      </c>
      <c r="BO693" s="8">
        <f>Granger_Inventory[[#This Row],[Patio]]*Lookups!$B$19</f>
        <v>0</v>
      </c>
      <c r="BP693" s="8">
        <f>SUM(Granger_Inventory[[#This Row],[Intercept]:[Patio_Value]])*Granger_Inventory[[#This Row],[res_pct]]</f>
        <v>0</v>
      </c>
      <c r="BQ693" s="8">
        <f>Granger_Inventory[[#This Row],[land_value]]</f>
        <v>24733.049859725303</v>
      </c>
      <c r="BR693" s="4">
        <f>_xlfn.IFNA(VLOOKUP(Granger_Inventory[[#This Row],[quality]],Lookups!$A$25:$C$35,3,FALSE),1)</f>
        <v>1</v>
      </c>
      <c r="BS693" s="4">
        <f>_xlfn.IFNA(VLOOKUP(Granger_Inventory[[#This Row],[condition]],Lookups!$A$38:$C$45,3,FALSE),1)</f>
        <v>1</v>
      </c>
      <c r="BT693" s="4">
        <f>IF(Granger_Inventory[[#This Row],[decade]]="",1,_xlfn.IFNA(VLOOKUP(Granger_Inventory[[#This Row],[decade]],Lookups!$G$28:$I$42,3,FALSE),1))</f>
        <v>1</v>
      </c>
      <c r="BU693" s="4">
        <f>_xlfn.IFNA(VLOOKUP(Granger_Inventory[[#This Row],[living_area_range]],Lookups!$A$48:$C$57,3,FALSE),1)</f>
        <v>1</v>
      </c>
      <c r="BV693" s="4">
        <f>AVERAGE(Granger_Inventory[[#This Row],[qual_adj]:[living_range_adj]])</f>
        <v>1</v>
      </c>
      <c r="BW693" s="8">
        <f>(Granger_Inventory[[#This Row],[sum_land]]-IF(Granger_Inventory[[#This Row],[no_utilities]]=1,12000,0))/IF(Granger_Inventory[[#This Row],[unbuildable]]=1,2,1)</f>
        <v>24733.049859725303</v>
      </c>
      <c r="BX693" s="8">
        <f>Granger_Inventory[[#This Row],[pre_res]]*Granger_Inventory[[#This Row],[overall_adj]]</f>
        <v>0</v>
      </c>
      <c r="BY693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693">
        <f>ROUND(Granger_Inventory[[#This Row],[detatched_value]]*Lookups!$I$45,-2)</f>
        <v>0</v>
      </c>
      <c r="CA69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3">
        <f>Granger_Inventory[[#This Row],[final_det]]+Granger_Inventory[[#This Row],[final_res]]</f>
        <v>0</v>
      </c>
      <c r="CC693">
        <f>Granger_Inventory[[#This Row],[final_land]]+Granger_Inventory[[#This Row],[final_imp]]+Granger_Inventory[[#This Row],[crop_value]]</f>
        <v>23500</v>
      </c>
      <c r="CE693" t="str">
        <f t="shared" si="11"/>
        <v>update valuation set market_land =23500, market_bldg=0, market_total =23500, market_mdno =402, market_date ='9/10/2023' where link_id = (select link_id from parcel where parcel_year = '2024' and parcel_id = '21102113566');</v>
      </c>
    </row>
    <row r="694" spans="1:83" x14ac:dyDescent="0.25">
      <c r="A694">
        <v>21102114426</v>
      </c>
      <c r="B694">
        <v>0.16</v>
      </c>
      <c r="C694">
        <v>7000</v>
      </c>
      <c r="D694" t="s">
        <v>137</v>
      </c>
      <c r="E694" t="s">
        <v>54</v>
      </c>
      <c r="F694" t="s">
        <v>54</v>
      </c>
      <c r="G694">
        <v>3</v>
      </c>
      <c r="H694" t="s">
        <v>55</v>
      </c>
      <c r="I694">
        <v>3900</v>
      </c>
      <c r="J694">
        <v>26200</v>
      </c>
      <c r="K694">
        <v>0.16</v>
      </c>
      <c r="L694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94">
        <v>0</v>
      </c>
      <c r="N694">
        <v>0</v>
      </c>
      <c r="O694">
        <v>0</v>
      </c>
      <c r="P694">
        <v>47108.068500000001</v>
      </c>
      <c r="Q694">
        <v>122298</v>
      </c>
      <c r="R694">
        <f>(Granger_Inventory[[#This Row],[ln_acres]]*Granger_Inventory[[#This Row],[coeff]])+Granger_Inventory[[#This Row],[const]]</f>
        <v>35968.626873914327</v>
      </c>
      <c r="AY694">
        <v>0</v>
      </c>
      <c r="AZ694">
        <v>4600</v>
      </c>
      <c r="BE694">
        <v>0</v>
      </c>
      <c r="BF694">
        <v>15000</v>
      </c>
      <c r="BG694">
        <v>0</v>
      </c>
      <c r="BH694" s="8">
        <f>Granger_Inventory[[#This Row],[land_extract]]*Lookups!$B$3</f>
        <v>21427.618862498482</v>
      </c>
      <c r="BI694" s="8">
        <f>IF(Granger_Inventory[[#This Row],[bldg_style]]="",0,Lookups!$B$2)</f>
        <v>0</v>
      </c>
      <c r="BJ694" s="8">
        <f>_xlfn.IFNA(VLOOKUP(Granger_Inventory[[#This Row],[quality]],Lookups!$H$2:$J$14,3,FALSE),0)</f>
        <v>0</v>
      </c>
      <c r="BK694" s="8">
        <f>_xlfn.IFNA(VLOOKUP(Granger_Inventory[[#This Row],[condition]],Lookups!$H$17:$J$24,3,FALSE),0)</f>
        <v>0</v>
      </c>
      <c r="BL694" s="8">
        <f>Granger_Inventory[[#This Row],[Age]]*Lookups!$B$16</f>
        <v>0</v>
      </c>
      <c r="BM694" s="8">
        <f>Granger_Inventory[[#This Row],[living_area]]*Lookups!$B$17</f>
        <v>0</v>
      </c>
      <c r="BN694" s="8">
        <f>(Granger_Inventory[[#This Row],[att_gar]]+Granger_Inventory[[#This Row],[blt_gar]])*Lookups!$B$18</f>
        <v>0</v>
      </c>
      <c r="BO694" s="8">
        <f>Granger_Inventory[[#This Row],[Patio]]*Lookups!$B$19</f>
        <v>0</v>
      </c>
      <c r="BP694" s="8">
        <f>SUM(Granger_Inventory[[#This Row],[Intercept]:[Patio_Value]])*Granger_Inventory[[#This Row],[res_pct]]</f>
        <v>0</v>
      </c>
      <c r="BQ694" s="8">
        <f>Granger_Inventory[[#This Row],[land_value]]</f>
        <v>21427.618862498482</v>
      </c>
      <c r="BR694" s="4">
        <f>_xlfn.IFNA(VLOOKUP(Granger_Inventory[[#This Row],[quality]],Lookups!$A$25:$C$35,3,FALSE),1)</f>
        <v>1</v>
      </c>
      <c r="BS694" s="4">
        <f>_xlfn.IFNA(VLOOKUP(Granger_Inventory[[#This Row],[condition]],Lookups!$A$38:$C$45,3,FALSE),1)</f>
        <v>1</v>
      </c>
      <c r="BT694" s="4">
        <f>IF(Granger_Inventory[[#This Row],[decade]]="",1,_xlfn.IFNA(VLOOKUP(Granger_Inventory[[#This Row],[decade]],Lookups!$G$28:$I$42,3,FALSE),1))</f>
        <v>1</v>
      </c>
      <c r="BU694" s="4">
        <f>_xlfn.IFNA(VLOOKUP(Granger_Inventory[[#This Row],[living_area_range]],Lookups!$A$48:$C$57,3,FALSE),1)</f>
        <v>1</v>
      </c>
      <c r="BV694" s="4">
        <f>AVERAGE(Granger_Inventory[[#This Row],[qual_adj]:[living_range_adj]])</f>
        <v>1</v>
      </c>
      <c r="BW694" s="8">
        <f>(Granger_Inventory[[#This Row],[sum_land]]-IF(Granger_Inventory[[#This Row],[no_utilities]]=1,12000,0))/IF(Granger_Inventory[[#This Row],[unbuildable]]=1,2,1)</f>
        <v>21427.618862498482</v>
      </c>
      <c r="BX694" s="8">
        <f>Granger_Inventory[[#This Row],[pre_res]]*Granger_Inventory[[#This Row],[overall_adj]]</f>
        <v>0</v>
      </c>
      <c r="BY694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94">
        <f>ROUND(Granger_Inventory[[#This Row],[detatched_value]]*Lookups!$I$45,-2)</f>
        <v>4400</v>
      </c>
      <c r="CA69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4">
        <f>Granger_Inventory[[#This Row],[final_det]]+Granger_Inventory[[#This Row],[final_res]]</f>
        <v>4400</v>
      </c>
      <c r="CC694">
        <f>Granger_Inventory[[#This Row],[final_land]]+Granger_Inventory[[#This Row],[final_imp]]+Granger_Inventory[[#This Row],[crop_value]]</f>
        <v>24800</v>
      </c>
      <c r="CE694" t="str">
        <f t="shared" si="11"/>
        <v>update valuation set market_land =20400, market_bldg=4400, market_total =24800, market_mdno =402, market_date ='9/10/2023' where link_id = (select link_id from parcel where parcel_year = '2024' and parcel_id = '21102114426');</v>
      </c>
    </row>
    <row r="695" spans="1:83" x14ac:dyDescent="0.25">
      <c r="A695">
        <v>21102114462</v>
      </c>
      <c r="B695">
        <v>0.4</v>
      </c>
      <c r="C695">
        <v>17297</v>
      </c>
      <c r="D695" t="s">
        <v>137</v>
      </c>
      <c r="E695" t="s">
        <v>54</v>
      </c>
      <c r="F695" t="s">
        <v>54</v>
      </c>
      <c r="G695">
        <v>3</v>
      </c>
      <c r="H695" t="s">
        <v>55</v>
      </c>
      <c r="I695">
        <v>8500</v>
      </c>
      <c r="J695">
        <v>31500</v>
      </c>
      <c r="K695">
        <v>0.4</v>
      </c>
      <c r="L695">
        <f>IF(Granger_Inventory[[#This Row],[parcel_acres]]-Granger_Inventory[[#This Row],[non_valued_acres]] =0,0,LN(Granger_Inventory[[#This Row],[parcel_acres]]-Granger_Inventory[[#This Row],[non_valued_acres]]))</f>
        <v>-0.916290731874155</v>
      </c>
      <c r="M695">
        <v>0</v>
      </c>
      <c r="N695">
        <v>0</v>
      </c>
      <c r="O695">
        <v>0</v>
      </c>
      <c r="P695">
        <v>47108.068500000001</v>
      </c>
      <c r="Q695">
        <v>122298</v>
      </c>
      <c r="R695">
        <f>(Granger_Inventory[[#This Row],[ln_acres]]*Granger_Inventory[[#This Row],[coeff]])+Granger_Inventory[[#This Row],[const]]</f>
        <v>79133.313436957164</v>
      </c>
      <c r="AY695">
        <v>0</v>
      </c>
      <c r="AZ695">
        <v>8600</v>
      </c>
      <c r="BE695">
        <v>0</v>
      </c>
      <c r="BF695">
        <v>15000</v>
      </c>
      <c r="BG695">
        <v>0</v>
      </c>
      <c r="BH695" s="8">
        <f>Granger_Inventory[[#This Row],[land_extract]]*Lookups!$B$3</f>
        <v>47142.152120449238</v>
      </c>
      <c r="BI695" s="8">
        <f>IF(Granger_Inventory[[#This Row],[bldg_style]]="",0,Lookups!$B$2)</f>
        <v>0</v>
      </c>
      <c r="BJ695" s="8">
        <f>_xlfn.IFNA(VLOOKUP(Granger_Inventory[[#This Row],[quality]],Lookups!$H$2:$J$14,3,FALSE),0)</f>
        <v>0</v>
      </c>
      <c r="BK695" s="8">
        <f>_xlfn.IFNA(VLOOKUP(Granger_Inventory[[#This Row],[condition]],Lookups!$H$17:$J$24,3,FALSE),0)</f>
        <v>0</v>
      </c>
      <c r="BL695" s="8">
        <f>Granger_Inventory[[#This Row],[Age]]*Lookups!$B$16</f>
        <v>0</v>
      </c>
      <c r="BM695" s="8">
        <f>Granger_Inventory[[#This Row],[living_area]]*Lookups!$B$17</f>
        <v>0</v>
      </c>
      <c r="BN695" s="8">
        <f>(Granger_Inventory[[#This Row],[att_gar]]+Granger_Inventory[[#This Row],[blt_gar]])*Lookups!$B$18</f>
        <v>0</v>
      </c>
      <c r="BO695" s="8">
        <f>Granger_Inventory[[#This Row],[Patio]]*Lookups!$B$19</f>
        <v>0</v>
      </c>
      <c r="BP695" s="8">
        <f>SUM(Granger_Inventory[[#This Row],[Intercept]:[Patio_Value]])*Granger_Inventory[[#This Row],[res_pct]]</f>
        <v>0</v>
      </c>
      <c r="BQ695" s="8">
        <f>Granger_Inventory[[#This Row],[land_value]]</f>
        <v>47142.152120449238</v>
      </c>
      <c r="BR695" s="4">
        <f>_xlfn.IFNA(VLOOKUP(Granger_Inventory[[#This Row],[quality]],Lookups!$A$25:$C$35,3,FALSE),1)</f>
        <v>1</v>
      </c>
      <c r="BS695" s="4">
        <f>_xlfn.IFNA(VLOOKUP(Granger_Inventory[[#This Row],[condition]],Lookups!$A$38:$C$45,3,FALSE),1)</f>
        <v>1</v>
      </c>
      <c r="BT695" s="4">
        <f>IF(Granger_Inventory[[#This Row],[decade]]="",1,_xlfn.IFNA(VLOOKUP(Granger_Inventory[[#This Row],[decade]],Lookups!$G$28:$I$42,3,FALSE),1))</f>
        <v>1</v>
      </c>
      <c r="BU695" s="4">
        <f>_xlfn.IFNA(VLOOKUP(Granger_Inventory[[#This Row],[living_area_range]],Lookups!$A$48:$C$57,3,FALSE),1)</f>
        <v>1</v>
      </c>
      <c r="BV695" s="4">
        <f>AVERAGE(Granger_Inventory[[#This Row],[qual_adj]:[living_range_adj]])</f>
        <v>1</v>
      </c>
      <c r="BW695" s="8">
        <f>(Granger_Inventory[[#This Row],[sum_land]]-IF(Granger_Inventory[[#This Row],[no_utilities]]=1,12000,0))/IF(Granger_Inventory[[#This Row],[unbuildable]]=1,2,1)</f>
        <v>47142.152120449238</v>
      </c>
      <c r="BX695" s="8">
        <f>Granger_Inventory[[#This Row],[pre_res]]*Granger_Inventory[[#This Row],[overall_adj]]</f>
        <v>0</v>
      </c>
      <c r="BY695">
        <f>IF(ROUND(Granger_Inventory[[#This Row],[adj_land]]*Lookups!$I$45,-2)&lt;Granger_Inventory[[#This Row],[min_land]],Granger_Inventory[[#This Row],[min_land]],ROUND(Granger_Inventory[[#This Row],[adj_land]]*Lookups!$I$45,-2))</f>
        <v>44800</v>
      </c>
      <c r="BZ695">
        <f>ROUND(Granger_Inventory[[#This Row],[detatched_value]]*Lookups!$I$45,-2)</f>
        <v>8200</v>
      </c>
      <c r="CA69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5">
        <f>Granger_Inventory[[#This Row],[final_det]]+Granger_Inventory[[#This Row],[final_res]]</f>
        <v>8200</v>
      </c>
      <c r="CC695">
        <f>Granger_Inventory[[#This Row],[final_land]]+Granger_Inventory[[#This Row],[final_imp]]+Granger_Inventory[[#This Row],[crop_value]]</f>
        <v>53000</v>
      </c>
      <c r="CE695" t="str">
        <f t="shared" si="11"/>
        <v>update valuation set market_land =44800, market_bldg=8200, market_total =53000, market_mdno =402, market_date ='9/10/2023' where link_id = (select link_id from parcel where parcel_year = '2024' and parcel_id = '21102114462');</v>
      </c>
    </row>
    <row r="696" spans="1:83" x14ac:dyDescent="0.25">
      <c r="A696">
        <v>21102114505</v>
      </c>
      <c r="B696">
        <v>0.16</v>
      </c>
      <c r="C696">
        <v>6969</v>
      </c>
      <c r="D696" t="s">
        <v>137</v>
      </c>
      <c r="E696" t="s">
        <v>54</v>
      </c>
      <c r="F696" t="s">
        <v>54</v>
      </c>
      <c r="G696">
        <v>3</v>
      </c>
      <c r="H696" t="s">
        <v>55</v>
      </c>
      <c r="I696">
        <v>0</v>
      </c>
      <c r="J696">
        <v>3500</v>
      </c>
      <c r="K696">
        <v>0.16</v>
      </c>
      <c r="L696">
        <f>IF(Granger_Inventory[[#This Row],[parcel_acres]]-Granger_Inventory[[#This Row],[non_valued_acres]] =0,0,LN(Granger_Inventory[[#This Row],[parcel_acres]]-Granger_Inventory[[#This Row],[non_valued_acres]]))</f>
        <v>-1.8325814637483102</v>
      </c>
      <c r="M696">
        <v>0</v>
      </c>
      <c r="N696">
        <v>0</v>
      </c>
      <c r="O696">
        <v>0</v>
      </c>
      <c r="P696">
        <v>47108.068500000001</v>
      </c>
      <c r="Q696">
        <v>122298</v>
      </c>
      <c r="R696">
        <f>(Granger_Inventory[[#This Row],[ln_acres]]*Granger_Inventory[[#This Row],[coeff]])+Granger_Inventory[[#This Row],[const]]</f>
        <v>35968.626873914327</v>
      </c>
      <c r="AY696">
        <v>0</v>
      </c>
      <c r="AZ696">
        <v>0</v>
      </c>
      <c r="BE696">
        <v>0</v>
      </c>
      <c r="BF696">
        <v>15000</v>
      </c>
      <c r="BG696">
        <v>0</v>
      </c>
      <c r="BH696" s="8">
        <f>Granger_Inventory[[#This Row],[land_extract]]*Lookups!$B$3</f>
        <v>21427.618862498482</v>
      </c>
      <c r="BI696" s="8">
        <f>IF(Granger_Inventory[[#This Row],[bldg_style]]="",0,Lookups!$B$2)</f>
        <v>0</v>
      </c>
      <c r="BJ696" s="8">
        <f>_xlfn.IFNA(VLOOKUP(Granger_Inventory[[#This Row],[quality]],Lookups!$H$2:$J$14,3,FALSE),0)</f>
        <v>0</v>
      </c>
      <c r="BK696" s="8">
        <f>_xlfn.IFNA(VLOOKUP(Granger_Inventory[[#This Row],[condition]],Lookups!$H$17:$J$24,3,FALSE),0)</f>
        <v>0</v>
      </c>
      <c r="BL696" s="8">
        <f>Granger_Inventory[[#This Row],[Age]]*Lookups!$B$16</f>
        <v>0</v>
      </c>
      <c r="BM696" s="8">
        <f>Granger_Inventory[[#This Row],[living_area]]*Lookups!$B$17</f>
        <v>0</v>
      </c>
      <c r="BN696" s="8">
        <f>(Granger_Inventory[[#This Row],[att_gar]]+Granger_Inventory[[#This Row],[blt_gar]])*Lookups!$B$18</f>
        <v>0</v>
      </c>
      <c r="BO696" s="8">
        <f>Granger_Inventory[[#This Row],[Patio]]*Lookups!$B$19</f>
        <v>0</v>
      </c>
      <c r="BP696" s="8">
        <f>SUM(Granger_Inventory[[#This Row],[Intercept]:[Patio_Value]])*Granger_Inventory[[#This Row],[res_pct]]</f>
        <v>0</v>
      </c>
      <c r="BQ696" s="8">
        <f>Granger_Inventory[[#This Row],[land_value]]</f>
        <v>21427.618862498482</v>
      </c>
      <c r="BR696" s="4">
        <f>_xlfn.IFNA(VLOOKUP(Granger_Inventory[[#This Row],[quality]],Lookups!$A$25:$C$35,3,FALSE),1)</f>
        <v>1</v>
      </c>
      <c r="BS696" s="4">
        <f>_xlfn.IFNA(VLOOKUP(Granger_Inventory[[#This Row],[condition]],Lookups!$A$38:$C$45,3,FALSE),1)</f>
        <v>1</v>
      </c>
      <c r="BT696" s="4">
        <f>IF(Granger_Inventory[[#This Row],[decade]]="",1,_xlfn.IFNA(VLOOKUP(Granger_Inventory[[#This Row],[decade]],Lookups!$G$28:$I$42,3,FALSE),1))</f>
        <v>1</v>
      </c>
      <c r="BU696" s="4">
        <f>_xlfn.IFNA(VLOOKUP(Granger_Inventory[[#This Row],[living_area_range]],Lookups!$A$48:$C$57,3,FALSE),1)</f>
        <v>1</v>
      </c>
      <c r="BV696" s="4">
        <f>AVERAGE(Granger_Inventory[[#This Row],[qual_adj]:[living_range_adj]])</f>
        <v>1</v>
      </c>
      <c r="BW696" s="8">
        <f>(Granger_Inventory[[#This Row],[sum_land]]-IF(Granger_Inventory[[#This Row],[no_utilities]]=1,12000,0))/IF(Granger_Inventory[[#This Row],[unbuildable]]=1,2,1)</f>
        <v>21427.618862498482</v>
      </c>
      <c r="BX696" s="8">
        <f>Granger_Inventory[[#This Row],[pre_res]]*Granger_Inventory[[#This Row],[overall_adj]]</f>
        <v>0</v>
      </c>
      <c r="BY696">
        <f>IF(ROUND(Granger_Inventory[[#This Row],[adj_land]]*Lookups!$I$45,-2)&lt;Granger_Inventory[[#This Row],[min_land]],Granger_Inventory[[#This Row],[min_land]],ROUND(Granger_Inventory[[#This Row],[adj_land]]*Lookups!$I$45,-2))</f>
        <v>20400</v>
      </c>
      <c r="BZ696">
        <f>ROUND(Granger_Inventory[[#This Row],[detatched_value]]*Lookups!$I$45,-2)</f>
        <v>0</v>
      </c>
      <c r="CA69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6">
        <f>Granger_Inventory[[#This Row],[final_det]]+Granger_Inventory[[#This Row],[final_res]]</f>
        <v>0</v>
      </c>
      <c r="CC696">
        <f>Granger_Inventory[[#This Row],[final_land]]+Granger_Inventory[[#This Row],[final_imp]]+Granger_Inventory[[#This Row],[crop_value]]</f>
        <v>20400</v>
      </c>
      <c r="CE696" t="str">
        <f t="shared" si="11"/>
        <v>update valuation set market_land =20400, market_bldg=0, market_total =20400, market_mdno =402, market_date ='9/10/2023' where link_id = (select link_id from parcel where parcel_year = '2024' and parcel_id = '21102114505');</v>
      </c>
    </row>
    <row r="697" spans="1:83" x14ac:dyDescent="0.25">
      <c r="A697">
        <v>21102121400</v>
      </c>
      <c r="B697">
        <v>0.86</v>
      </c>
      <c r="C697" t="s">
        <v>137</v>
      </c>
      <c r="D697" t="s">
        <v>137</v>
      </c>
      <c r="E697" t="s">
        <v>54</v>
      </c>
      <c r="F697" t="s">
        <v>54</v>
      </c>
      <c r="G697">
        <v>3</v>
      </c>
      <c r="H697" t="s">
        <v>55</v>
      </c>
      <c r="I697">
        <v>0</v>
      </c>
      <c r="J697">
        <v>36000</v>
      </c>
      <c r="K697">
        <v>0.86</v>
      </c>
      <c r="L697">
        <f>IF(Granger_Inventory[[#This Row],[parcel_acres]]-Granger_Inventory[[#This Row],[non_valued_acres]] =0,0,LN(Granger_Inventory[[#This Row],[parcel_acres]]-Granger_Inventory[[#This Row],[non_valued_acres]]))</f>
        <v>-0.15082288973458366</v>
      </c>
      <c r="M697">
        <v>0</v>
      </c>
      <c r="N697">
        <v>0</v>
      </c>
      <c r="O697">
        <v>0</v>
      </c>
      <c r="P697">
        <v>47108.068500000001</v>
      </c>
      <c r="Q697">
        <v>122298</v>
      </c>
      <c r="R697">
        <f>(Granger_Inventory[[#This Row],[ln_acres]]*Granger_Inventory[[#This Row],[coeff]])+Granger_Inventory[[#This Row],[const]]</f>
        <v>115193.02497901529</v>
      </c>
      <c r="AY697">
        <v>0</v>
      </c>
      <c r="AZ697">
        <v>0</v>
      </c>
      <c r="BE697">
        <v>0</v>
      </c>
      <c r="BF697">
        <v>15000</v>
      </c>
      <c r="BG697">
        <v>0</v>
      </c>
      <c r="BH697" s="8">
        <f>Granger_Inventory[[#This Row],[land_extract]]*Lookups!$B$3</f>
        <v>68624.032925168765</v>
      </c>
      <c r="BI697" s="8">
        <f>IF(Granger_Inventory[[#This Row],[bldg_style]]="",0,Lookups!$B$2)</f>
        <v>0</v>
      </c>
      <c r="BJ697" s="8">
        <f>_xlfn.IFNA(VLOOKUP(Granger_Inventory[[#This Row],[quality]],Lookups!$H$2:$J$14,3,FALSE),0)</f>
        <v>0</v>
      </c>
      <c r="BK697" s="8">
        <f>_xlfn.IFNA(VLOOKUP(Granger_Inventory[[#This Row],[condition]],Lookups!$H$17:$J$24,3,FALSE),0)</f>
        <v>0</v>
      </c>
      <c r="BL697" s="8">
        <f>Granger_Inventory[[#This Row],[Age]]*Lookups!$B$16</f>
        <v>0</v>
      </c>
      <c r="BM697" s="8">
        <f>Granger_Inventory[[#This Row],[living_area]]*Lookups!$B$17</f>
        <v>0</v>
      </c>
      <c r="BN697" s="8">
        <f>(Granger_Inventory[[#This Row],[att_gar]]+Granger_Inventory[[#This Row],[blt_gar]])*Lookups!$B$18</f>
        <v>0</v>
      </c>
      <c r="BO697" s="8">
        <f>Granger_Inventory[[#This Row],[Patio]]*Lookups!$B$19</f>
        <v>0</v>
      </c>
      <c r="BP697" s="8">
        <f>SUM(Granger_Inventory[[#This Row],[Intercept]:[Patio_Value]])*Granger_Inventory[[#This Row],[res_pct]]</f>
        <v>0</v>
      </c>
      <c r="BQ697" s="8">
        <f>Granger_Inventory[[#This Row],[land_value]]</f>
        <v>68624.032925168765</v>
      </c>
      <c r="BR697" s="4">
        <f>_xlfn.IFNA(VLOOKUP(Granger_Inventory[[#This Row],[quality]],Lookups!$A$25:$C$35,3,FALSE),1)</f>
        <v>1</v>
      </c>
      <c r="BS697" s="4">
        <f>_xlfn.IFNA(VLOOKUP(Granger_Inventory[[#This Row],[condition]],Lookups!$A$38:$C$45,3,FALSE),1)</f>
        <v>1</v>
      </c>
      <c r="BT697" s="4">
        <f>IF(Granger_Inventory[[#This Row],[decade]]="",1,_xlfn.IFNA(VLOOKUP(Granger_Inventory[[#This Row],[decade]],Lookups!$G$28:$I$42,3,FALSE),1))</f>
        <v>1</v>
      </c>
      <c r="BU697" s="4">
        <f>_xlfn.IFNA(VLOOKUP(Granger_Inventory[[#This Row],[living_area_range]],Lookups!$A$48:$C$57,3,FALSE),1)</f>
        <v>1</v>
      </c>
      <c r="BV697" s="4">
        <f>AVERAGE(Granger_Inventory[[#This Row],[qual_adj]:[living_range_adj]])</f>
        <v>1</v>
      </c>
      <c r="BW697" s="8">
        <f>(Granger_Inventory[[#This Row],[sum_land]]-IF(Granger_Inventory[[#This Row],[no_utilities]]=1,12000,0))/IF(Granger_Inventory[[#This Row],[unbuildable]]=1,2,1)</f>
        <v>68624.032925168765</v>
      </c>
      <c r="BX697" s="8">
        <f>Granger_Inventory[[#This Row],[pre_res]]*Granger_Inventory[[#This Row],[overall_adj]]</f>
        <v>0</v>
      </c>
      <c r="BY697">
        <f>IF(ROUND(Granger_Inventory[[#This Row],[adj_land]]*Lookups!$I$45,-2)&lt;Granger_Inventory[[#This Row],[min_land]],Granger_Inventory[[#This Row],[min_land]],ROUND(Granger_Inventory[[#This Row],[adj_land]]*Lookups!$I$45,-2))</f>
        <v>65200</v>
      </c>
      <c r="BZ697">
        <f>ROUND(Granger_Inventory[[#This Row],[detatched_value]]*Lookups!$I$45,-2)</f>
        <v>0</v>
      </c>
      <c r="CA69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7">
        <f>Granger_Inventory[[#This Row],[final_det]]+Granger_Inventory[[#This Row],[final_res]]</f>
        <v>0</v>
      </c>
      <c r="CC697">
        <f>Granger_Inventory[[#This Row],[final_land]]+Granger_Inventory[[#This Row],[final_imp]]+Granger_Inventory[[#This Row],[crop_value]]</f>
        <v>65200</v>
      </c>
      <c r="CE697" t="str">
        <f t="shared" si="11"/>
        <v>update valuation set market_land =65200, market_bldg=0, market_total =65200, market_mdno =402, market_date ='9/10/2023' where link_id = (select link_id from parcel where parcel_year = '2024' and parcel_id = '21102121400');</v>
      </c>
    </row>
    <row r="698" spans="1:83" x14ac:dyDescent="0.25">
      <c r="A698">
        <v>21102121427</v>
      </c>
      <c r="B698">
        <v>0.2</v>
      </c>
      <c r="C698" t="s">
        <v>137</v>
      </c>
      <c r="D698" t="s">
        <v>137</v>
      </c>
      <c r="E698" t="s">
        <v>54</v>
      </c>
      <c r="F698" t="s">
        <v>54</v>
      </c>
      <c r="G698">
        <v>3</v>
      </c>
      <c r="H698" t="s">
        <v>55</v>
      </c>
      <c r="I698">
        <v>0</v>
      </c>
      <c r="J698">
        <v>27500</v>
      </c>
      <c r="K698">
        <v>0.2</v>
      </c>
      <c r="L698">
        <f>IF(Granger_Inventory[[#This Row],[parcel_acres]]-Granger_Inventory[[#This Row],[non_valued_acres]] =0,0,LN(Granger_Inventory[[#This Row],[parcel_acres]]-Granger_Inventory[[#This Row],[non_valued_acres]]))</f>
        <v>-1.6094379124341003</v>
      </c>
      <c r="M698">
        <v>0</v>
      </c>
      <c r="N698">
        <v>0</v>
      </c>
      <c r="O698">
        <v>0</v>
      </c>
      <c r="P698">
        <v>47108.068500000001</v>
      </c>
      <c r="Q698">
        <v>122298</v>
      </c>
      <c r="R698">
        <f>(Granger_Inventory[[#This Row],[ln_acres]]*Granger_Inventory[[#This Row],[coeff]])+Granger_Inventory[[#This Row],[const]]</f>
        <v>46480.488574557399</v>
      </c>
      <c r="AY698">
        <v>0</v>
      </c>
      <c r="AZ698">
        <v>0</v>
      </c>
      <c r="BE698">
        <v>0</v>
      </c>
      <c r="BF698">
        <v>15000</v>
      </c>
      <c r="BG698">
        <v>0</v>
      </c>
      <c r="BH698" s="8">
        <f>Granger_Inventory[[#This Row],[land_extract]]*Lookups!$B$3</f>
        <v>27689.858642911939</v>
      </c>
      <c r="BI698" s="8">
        <f>IF(Granger_Inventory[[#This Row],[bldg_style]]="",0,Lookups!$B$2)</f>
        <v>0</v>
      </c>
      <c r="BJ698" s="8">
        <f>_xlfn.IFNA(VLOOKUP(Granger_Inventory[[#This Row],[quality]],Lookups!$H$2:$J$14,3,FALSE),0)</f>
        <v>0</v>
      </c>
      <c r="BK698" s="8">
        <f>_xlfn.IFNA(VLOOKUP(Granger_Inventory[[#This Row],[condition]],Lookups!$H$17:$J$24,3,FALSE),0)</f>
        <v>0</v>
      </c>
      <c r="BL698" s="8">
        <f>Granger_Inventory[[#This Row],[Age]]*Lookups!$B$16</f>
        <v>0</v>
      </c>
      <c r="BM698" s="8">
        <f>Granger_Inventory[[#This Row],[living_area]]*Lookups!$B$17</f>
        <v>0</v>
      </c>
      <c r="BN698" s="8">
        <f>(Granger_Inventory[[#This Row],[att_gar]]+Granger_Inventory[[#This Row],[blt_gar]])*Lookups!$B$18</f>
        <v>0</v>
      </c>
      <c r="BO698" s="8">
        <f>Granger_Inventory[[#This Row],[Patio]]*Lookups!$B$19</f>
        <v>0</v>
      </c>
      <c r="BP698" s="8">
        <f>SUM(Granger_Inventory[[#This Row],[Intercept]:[Patio_Value]])*Granger_Inventory[[#This Row],[res_pct]]</f>
        <v>0</v>
      </c>
      <c r="BQ698" s="8">
        <f>Granger_Inventory[[#This Row],[land_value]]</f>
        <v>27689.858642911939</v>
      </c>
      <c r="BR698" s="4">
        <f>_xlfn.IFNA(VLOOKUP(Granger_Inventory[[#This Row],[quality]],Lookups!$A$25:$C$35,3,FALSE),1)</f>
        <v>1</v>
      </c>
      <c r="BS698" s="4">
        <f>_xlfn.IFNA(VLOOKUP(Granger_Inventory[[#This Row],[condition]],Lookups!$A$38:$C$45,3,FALSE),1)</f>
        <v>1</v>
      </c>
      <c r="BT698" s="4">
        <f>IF(Granger_Inventory[[#This Row],[decade]]="",1,_xlfn.IFNA(VLOOKUP(Granger_Inventory[[#This Row],[decade]],Lookups!$G$28:$I$42,3,FALSE),1))</f>
        <v>1</v>
      </c>
      <c r="BU698" s="4">
        <f>_xlfn.IFNA(VLOOKUP(Granger_Inventory[[#This Row],[living_area_range]],Lookups!$A$48:$C$57,3,FALSE),1)</f>
        <v>1</v>
      </c>
      <c r="BV698" s="4">
        <f>AVERAGE(Granger_Inventory[[#This Row],[qual_adj]:[living_range_adj]])</f>
        <v>1</v>
      </c>
      <c r="BW698" s="8">
        <f>(Granger_Inventory[[#This Row],[sum_land]]-IF(Granger_Inventory[[#This Row],[no_utilities]]=1,12000,0))/IF(Granger_Inventory[[#This Row],[unbuildable]]=1,2,1)</f>
        <v>27689.858642911939</v>
      </c>
      <c r="BX698" s="8">
        <f>Granger_Inventory[[#This Row],[pre_res]]*Granger_Inventory[[#This Row],[overall_adj]]</f>
        <v>0</v>
      </c>
      <c r="BY698">
        <f>IF(ROUND(Granger_Inventory[[#This Row],[adj_land]]*Lookups!$I$45,-2)&lt;Granger_Inventory[[#This Row],[min_land]],Granger_Inventory[[#This Row],[min_land]],ROUND(Granger_Inventory[[#This Row],[adj_land]]*Lookups!$I$45,-2))</f>
        <v>26300</v>
      </c>
      <c r="BZ698">
        <f>ROUND(Granger_Inventory[[#This Row],[detatched_value]]*Lookups!$I$45,-2)</f>
        <v>0</v>
      </c>
      <c r="CA69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8">
        <f>Granger_Inventory[[#This Row],[final_det]]+Granger_Inventory[[#This Row],[final_res]]</f>
        <v>0</v>
      </c>
      <c r="CC698">
        <f>Granger_Inventory[[#This Row],[final_land]]+Granger_Inventory[[#This Row],[final_imp]]+Granger_Inventory[[#This Row],[crop_value]]</f>
        <v>26300</v>
      </c>
      <c r="CE698" t="str">
        <f t="shared" si="11"/>
        <v>update valuation set market_land =26300, market_bldg=0, market_total =26300, market_mdno =402, market_date ='9/10/2023' where link_id = (select link_id from parcel where parcel_year = '2024' and parcel_id = '21102121427');</v>
      </c>
    </row>
    <row r="699" spans="1:83" x14ac:dyDescent="0.25">
      <c r="A699">
        <v>21102121432</v>
      </c>
      <c r="B699">
        <v>0.15</v>
      </c>
      <c r="C699">
        <v>6442</v>
      </c>
      <c r="D699" t="s">
        <v>137</v>
      </c>
      <c r="E699" t="s">
        <v>54</v>
      </c>
      <c r="F699" t="s">
        <v>54</v>
      </c>
      <c r="G699">
        <v>3</v>
      </c>
      <c r="H699" t="s">
        <v>55</v>
      </c>
      <c r="I699">
        <v>5100</v>
      </c>
      <c r="J699">
        <v>25800</v>
      </c>
      <c r="K699">
        <v>0.15</v>
      </c>
      <c r="L699">
        <f>IF(Granger_Inventory[[#This Row],[parcel_acres]]-Granger_Inventory[[#This Row],[non_valued_acres]] =0,0,LN(Granger_Inventory[[#This Row],[parcel_acres]]-Granger_Inventory[[#This Row],[non_valued_acres]]))</f>
        <v>-1.8971199848858813</v>
      </c>
      <c r="M699">
        <v>0</v>
      </c>
      <c r="N699">
        <v>0</v>
      </c>
      <c r="O699">
        <v>0</v>
      </c>
      <c r="P699">
        <v>47108.068500000001</v>
      </c>
      <c r="Q699">
        <v>122298</v>
      </c>
      <c r="R699">
        <f>(Granger_Inventory[[#This Row],[ln_acres]]*Granger_Inventory[[#This Row],[coeff]])+Granger_Inventory[[#This Row],[const]]</f>
        <v>32928.341799276939</v>
      </c>
      <c r="AY699">
        <v>0</v>
      </c>
      <c r="AZ699">
        <v>5900</v>
      </c>
      <c r="BE699">
        <v>0</v>
      </c>
      <c r="BF699">
        <v>15000</v>
      </c>
      <c r="BG699">
        <v>0</v>
      </c>
      <c r="BH699" s="8">
        <f>Granger_Inventory[[#This Row],[land_extract]]*Lookups!$B$3</f>
        <v>19616.42740275669</v>
      </c>
      <c r="BI699" s="8">
        <f>IF(Granger_Inventory[[#This Row],[bldg_style]]="",0,Lookups!$B$2)</f>
        <v>0</v>
      </c>
      <c r="BJ699" s="8">
        <f>_xlfn.IFNA(VLOOKUP(Granger_Inventory[[#This Row],[quality]],Lookups!$H$2:$J$14,3,FALSE),0)</f>
        <v>0</v>
      </c>
      <c r="BK699" s="8">
        <f>_xlfn.IFNA(VLOOKUP(Granger_Inventory[[#This Row],[condition]],Lookups!$H$17:$J$24,3,FALSE),0)</f>
        <v>0</v>
      </c>
      <c r="BL699" s="8">
        <f>Granger_Inventory[[#This Row],[Age]]*Lookups!$B$16</f>
        <v>0</v>
      </c>
      <c r="BM699" s="8">
        <f>Granger_Inventory[[#This Row],[living_area]]*Lookups!$B$17</f>
        <v>0</v>
      </c>
      <c r="BN699" s="8">
        <f>(Granger_Inventory[[#This Row],[att_gar]]+Granger_Inventory[[#This Row],[blt_gar]])*Lookups!$B$18</f>
        <v>0</v>
      </c>
      <c r="BO699" s="8">
        <f>Granger_Inventory[[#This Row],[Patio]]*Lookups!$B$19</f>
        <v>0</v>
      </c>
      <c r="BP699" s="8">
        <f>SUM(Granger_Inventory[[#This Row],[Intercept]:[Patio_Value]])*Granger_Inventory[[#This Row],[res_pct]]</f>
        <v>0</v>
      </c>
      <c r="BQ699" s="8">
        <f>Granger_Inventory[[#This Row],[land_value]]</f>
        <v>19616.42740275669</v>
      </c>
      <c r="BR699" s="4">
        <f>_xlfn.IFNA(VLOOKUP(Granger_Inventory[[#This Row],[quality]],Lookups!$A$25:$C$35,3,FALSE),1)</f>
        <v>1</v>
      </c>
      <c r="BS699" s="4">
        <f>_xlfn.IFNA(VLOOKUP(Granger_Inventory[[#This Row],[condition]],Lookups!$A$38:$C$45,3,FALSE),1)</f>
        <v>1</v>
      </c>
      <c r="BT699" s="4">
        <f>IF(Granger_Inventory[[#This Row],[decade]]="",1,_xlfn.IFNA(VLOOKUP(Granger_Inventory[[#This Row],[decade]],Lookups!$G$28:$I$42,3,FALSE),1))</f>
        <v>1</v>
      </c>
      <c r="BU699" s="4">
        <f>_xlfn.IFNA(VLOOKUP(Granger_Inventory[[#This Row],[living_area_range]],Lookups!$A$48:$C$57,3,FALSE),1)</f>
        <v>1</v>
      </c>
      <c r="BV699" s="4">
        <f>AVERAGE(Granger_Inventory[[#This Row],[qual_adj]:[living_range_adj]])</f>
        <v>1</v>
      </c>
      <c r="BW699" s="8">
        <f>(Granger_Inventory[[#This Row],[sum_land]]-IF(Granger_Inventory[[#This Row],[no_utilities]]=1,12000,0))/IF(Granger_Inventory[[#This Row],[unbuildable]]=1,2,1)</f>
        <v>19616.42740275669</v>
      </c>
      <c r="BX699" s="8">
        <f>Granger_Inventory[[#This Row],[pre_res]]*Granger_Inventory[[#This Row],[overall_adj]]</f>
        <v>0</v>
      </c>
      <c r="BY699">
        <f>IF(ROUND(Granger_Inventory[[#This Row],[adj_land]]*Lookups!$I$45,-2)&lt;Granger_Inventory[[#This Row],[min_land]],Granger_Inventory[[#This Row],[min_land]],ROUND(Granger_Inventory[[#This Row],[adj_land]]*Lookups!$I$45,-2))</f>
        <v>18600</v>
      </c>
      <c r="BZ699">
        <f>ROUND(Granger_Inventory[[#This Row],[detatched_value]]*Lookups!$I$45,-2)</f>
        <v>5600</v>
      </c>
      <c r="CA69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699">
        <f>Granger_Inventory[[#This Row],[final_det]]+Granger_Inventory[[#This Row],[final_res]]</f>
        <v>5600</v>
      </c>
      <c r="CC699">
        <f>Granger_Inventory[[#This Row],[final_land]]+Granger_Inventory[[#This Row],[final_imp]]+Granger_Inventory[[#This Row],[crop_value]]</f>
        <v>24200</v>
      </c>
      <c r="CE699" t="str">
        <f t="shared" si="11"/>
        <v>update valuation set market_land =18600, market_bldg=5600, market_total =24200, market_mdno =402, market_date ='9/10/2023' where link_id = (select link_id from parcel where parcel_year = '2024' and parcel_id = '21102121432');</v>
      </c>
    </row>
    <row r="700" spans="1:83" x14ac:dyDescent="0.25">
      <c r="A700">
        <v>21102121440</v>
      </c>
      <c r="B700">
        <v>0.18</v>
      </c>
      <c r="C700">
        <v>7826</v>
      </c>
      <c r="D700" t="s">
        <v>137</v>
      </c>
      <c r="E700" t="s">
        <v>54</v>
      </c>
      <c r="F700" t="s">
        <v>54</v>
      </c>
      <c r="G700">
        <v>3</v>
      </c>
      <c r="H700" t="s">
        <v>55</v>
      </c>
      <c r="I700">
        <v>2400</v>
      </c>
      <c r="J700">
        <v>26800</v>
      </c>
      <c r="K700">
        <v>0.18</v>
      </c>
      <c r="L700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700">
        <v>0</v>
      </c>
      <c r="N700">
        <v>0</v>
      </c>
      <c r="O700">
        <v>0</v>
      </c>
      <c r="P700">
        <v>47108.068500000001</v>
      </c>
      <c r="Q700">
        <v>122298</v>
      </c>
      <c r="R700">
        <f>(Granger_Inventory[[#This Row],[ln_acres]]*Granger_Inventory[[#This Row],[coeff]])+Granger_Inventory[[#This Row],[const]]</f>
        <v>41517.1581857532</v>
      </c>
      <c r="AY700">
        <v>0</v>
      </c>
      <c r="AZ700">
        <v>2800</v>
      </c>
      <c r="BE700">
        <v>0</v>
      </c>
      <c r="BF700">
        <v>15000</v>
      </c>
      <c r="BG700">
        <v>0</v>
      </c>
      <c r="BH700" s="8">
        <f>Granger_Inventory[[#This Row],[land_extract]]*Lookups!$B$3</f>
        <v>24733.049859725303</v>
      </c>
      <c r="BI700" s="8">
        <f>IF(Granger_Inventory[[#This Row],[bldg_style]]="",0,Lookups!$B$2)</f>
        <v>0</v>
      </c>
      <c r="BJ700" s="8">
        <f>_xlfn.IFNA(VLOOKUP(Granger_Inventory[[#This Row],[quality]],Lookups!$H$2:$J$14,3,FALSE),0)</f>
        <v>0</v>
      </c>
      <c r="BK700" s="8">
        <f>_xlfn.IFNA(VLOOKUP(Granger_Inventory[[#This Row],[condition]],Lookups!$H$17:$J$24,3,FALSE),0)</f>
        <v>0</v>
      </c>
      <c r="BL700" s="8">
        <f>Granger_Inventory[[#This Row],[Age]]*Lookups!$B$16</f>
        <v>0</v>
      </c>
      <c r="BM700" s="8">
        <f>Granger_Inventory[[#This Row],[living_area]]*Lookups!$B$17</f>
        <v>0</v>
      </c>
      <c r="BN700" s="8">
        <f>(Granger_Inventory[[#This Row],[att_gar]]+Granger_Inventory[[#This Row],[blt_gar]])*Lookups!$B$18</f>
        <v>0</v>
      </c>
      <c r="BO700" s="8">
        <f>Granger_Inventory[[#This Row],[Patio]]*Lookups!$B$19</f>
        <v>0</v>
      </c>
      <c r="BP700" s="8">
        <f>SUM(Granger_Inventory[[#This Row],[Intercept]:[Patio_Value]])*Granger_Inventory[[#This Row],[res_pct]]</f>
        <v>0</v>
      </c>
      <c r="BQ700" s="8">
        <f>Granger_Inventory[[#This Row],[land_value]]</f>
        <v>24733.049859725303</v>
      </c>
      <c r="BR700" s="4">
        <f>_xlfn.IFNA(VLOOKUP(Granger_Inventory[[#This Row],[quality]],Lookups!$A$25:$C$35,3,FALSE),1)</f>
        <v>1</v>
      </c>
      <c r="BS700" s="4">
        <f>_xlfn.IFNA(VLOOKUP(Granger_Inventory[[#This Row],[condition]],Lookups!$A$38:$C$45,3,FALSE),1)</f>
        <v>1</v>
      </c>
      <c r="BT700" s="4">
        <f>IF(Granger_Inventory[[#This Row],[decade]]="",1,_xlfn.IFNA(VLOOKUP(Granger_Inventory[[#This Row],[decade]],Lookups!$G$28:$I$42,3,FALSE),1))</f>
        <v>1</v>
      </c>
      <c r="BU700" s="4">
        <f>_xlfn.IFNA(VLOOKUP(Granger_Inventory[[#This Row],[living_area_range]],Lookups!$A$48:$C$57,3,FALSE),1)</f>
        <v>1</v>
      </c>
      <c r="BV700" s="4">
        <f>AVERAGE(Granger_Inventory[[#This Row],[qual_adj]:[living_range_adj]])</f>
        <v>1</v>
      </c>
      <c r="BW700" s="8">
        <f>(Granger_Inventory[[#This Row],[sum_land]]-IF(Granger_Inventory[[#This Row],[no_utilities]]=1,12000,0))/IF(Granger_Inventory[[#This Row],[unbuildable]]=1,2,1)</f>
        <v>24733.049859725303</v>
      </c>
      <c r="BX700" s="8">
        <f>Granger_Inventory[[#This Row],[pre_res]]*Granger_Inventory[[#This Row],[overall_adj]]</f>
        <v>0</v>
      </c>
      <c r="BY700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700">
        <f>ROUND(Granger_Inventory[[#This Row],[detatched_value]]*Lookups!$I$45,-2)</f>
        <v>2700</v>
      </c>
      <c r="CA70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0">
        <f>Granger_Inventory[[#This Row],[final_det]]+Granger_Inventory[[#This Row],[final_res]]</f>
        <v>2700</v>
      </c>
      <c r="CC700">
        <f>Granger_Inventory[[#This Row],[final_land]]+Granger_Inventory[[#This Row],[final_imp]]+Granger_Inventory[[#This Row],[crop_value]]</f>
        <v>26200</v>
      </c>
      <c r="CE700" t="str">
        <f t="shared" si="11"/>
        <v>update valuation set market_land =23500, market_bldg=2700, market_total =26200, market_mdno =402, market_date ='9/10/2023' where link_id = (select link_id from parcel where parcel_year = '2024' and parcel_id = '21102121440');</v>
      </c>
    </row>
    <row r="701" spans="1:83" x14ac:dyDescent="0.25">
      <c r="A701">
        <v>21102121450</v>
      </c>
      <c r="B701">
        <v>0.21</v>
      </c>
      <c r="C701">
        <v>9089</v>
      </c>
      <c r="D701" t="s">
        <v>137</v>
      </c>
      <c r="E701" t="s">
        <v>54</v>
      </c>
      <c r="F701" t="s">
        <v>54</v>
      </c>
      <c r="G701">
        <v>3</v>
      </c>
      <c r="H701" t="s">
        <v>55</v>
      </c>
      <c r="I701">
        <v>0</v>
      </c>
      <c r="J701">
        <v>27700</v>
      </c>
      <c r="K701">
        <v>0.21</v>
      </c>
      <c r="L701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701">
        <v>0</v>
      </c>
      <c r="N701">
        <v>0</v>
      </c>
      <c r="O701">
        <v>0</v>
      </c>
      <c r="P701">
        <v>47108.068500000001</v>
      </c>
      <c r="Q701">
        <v>122298</v>
      </c>
      <c r="R701">
        <f>(Granger_Inventory[[#This Row],[ln_acres]]*Granger_Inventory[[#This Row],[coeff]])+Granger_Inventory[[#This Row],[const]]</f>
        <v>48778.898970377239</v>
      </c>
      <c r="AY701">
        <v>0</v>
      </c>
      <c r="AZ701">
        <v>0</v>
      </c>
      <c r="BE701">
        <v>0</v>
      </c>
      <c r="BF701">
        <v>15000</v>
      </c>
      <c r="BG701">
        <v>0</v>
      </c>
      <c r="BH701" s="8">
        <f>Granger_Inventory[[#This Row],[land_extract]]*Lookups!$B$3</f>
        <v>29059.09250674201</v>
      </c>
      <c r="BI701" s="8">
        <f>IF(Granger_Inventory[[#This Row],[bldg_style]]="",0,Lookups!$B$2)</f>
        <v>0</v>
      </c>
      <c r="BJ701" s="8">
        <f>_xlfn.IFNA(VLOOKUP(Granger_Inventory[[#This Row],[quality]],Lookups!$H$2:$J$14,3,FALSE),0)</f>
        <v>0</v>
      </c>
      <c r="BK701" s="8">
        <f>_xlfn.IFNA(VLOOKUP(Granger_Inventory[[#This Row],[condition]],Lookups!$H$17:$J$24,3,FALSE),0)</f>
        <v>0</v>
      </c>
      <c r="BL701" s="8">
        <f>Granger_Inventory[[#This Row],[Age]]*Lookups!$B$16</f>
        <v>0</v>
      </c>
      <c r="BM701" s="8">
        <f>Granger_Inventory[[#This Row],[living_area]]*Lookups!$B$17</f>
        <v>0</v>
      </c>
      <c r="BN701" s="8">
        <f>(Granger_Inventory[[#This Row],[att_gar]]+Granger_Inventory[[#This Row],[blt_gar]])*Lookups!$B$18</f>
        <v>0</v>
      </c>
      <c r="BO701" s="8">
        <f>Granger_Inventory[[#This Row],[Patio]]*Lookups!$B$19</f>
        <v>0</v>
      </c>
      <c r="BP701" s="8">
        <f>SUM(Granger_Inventory[[#This Row],[Intercept]:[Patio_Value]])*Granger_Inventory[[#This Row],[res_pct]]</f>
        <v>0</v>
      </c>
      <c r="BQ701" s="8">
        <f>Granger_Inventory[[#This Row],[land_value]]</f>
        <v>29059.09250674201</v>
      </c>
      <c r="BR701" s="4">
        <f>_xlfn.IFNA(VLOOKUP(Granger_Inventory[[#This Row],[quality]],Lookups!$A$25:$C$35,3,FALSE),1)</f>
        <v>1</v>
      </c>
      <c r="BS701" s="4">
        <f>_xlfn.IFNA(VLOOKUP(Granger_Inventory[[#This Row],[condition]],Lookups!$A$38:$C$45,3,FALSE),1)</f>
        <v>1</v>
      </c>
      <c r="BT701" s="4">
        <f>IF(Granger_Inventory[[#This Row],[decade]]="",1,_xlfn.IFNA(VLOOKUP(Granger_Inventory[[#This Row],[decade]],Lookups!$G$28:$I$42,3,FALSE),1))</f>
        <v>1</v>
      </c>
      <c r="BU701" s="4">
        <f>_xlfn.IFNA(VLOOKUP(Granger_Inventory[[#This Row],[living_area_range]],Lookups!$A$48:$C$57,3,FALSE),1)</f>
        <v>1</v>
      </c>
      <c r="BV701" s="4">
        <f>AVERAGE(Granger_Inventory[[#This Row],[qual_adj]:[living_range_adj]])</f>
        <v>1</v>
      </c>
      <c r="BW701" s="8">
        <f>(Granger_Inventory[[#This Row],[sum_land]]-IF(Granger_Inventory[[#This Row],[no_utilities]]=1,12000,0))/IF(Granger_Inventory[[#This Row],[unbuildable]]=1,2,1)</f>
        <v>29059.09250674201</v>
      </c>
      <c r="BX701" s="8">
        <f>Granger_Inventory[[#This Row],[pre_res]]*Granger_Inventory[[#This Row],[overall_adj]]</f>
        <v>0</v>
      </c>
      <c r="BY701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701">
        <f>ROUND(Granger_Inventory[[#This Row],[detatched_value]]*Lookups!$I$45,-2)</f>
        <v>0</v>
      </c>
      <c r="CA70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1">
        <f>Granger_Inventory[[#This Row],[final_det]]+Granger_Inventory[[#This Row],[final_res]]</f>
        <v>0</v>
      </c>
      <c r="CC701">
        <f>Granger_Inventory[[#This Row],[final_land]]+Granger_Inventory[[#This Row],[final_imp]]+Granger_Inventory[[#This Row],[crop_value]]</f>
        <v>27600</v>
      </c>
      <c r="CE701" t="str">
        <f t="shared" si="11"/>
        <v>update valuation set market_land =27600, market_bldg=0, market_total =27600, market_mdno =402, market_date ='9/10/2023' where link_id = (select link_id from parcel where parcel_year = '2024' and parcel_id = '21102121450');</v>
      </c>
    </row>
    <row r="702" spans="1:83" x14ac:dyDescent="0.25">
      <c r="A702">
        <v>21102124402</v>
      </c>
      <c r="B702">
        <v>0.69</v>
      </c>
      <c r="C702">
        <v>30160</v>
      </c>
      <c r="D702" t="s">
        <v>137</v>
      </c>
      <c r="E702" t="s">
        <v>54</v>
      </c>
      <c r="F702" t="s">
        <v>54</v>
      </c>
      <c r="G702">
        <v>3</v>
      </c>
      <c r="H702" t="s">
        <v>55</v>
      </c>
      <c r="I702">
        <v>0</v>
      </c>
      <c r="J702">
        <v>34700</v>
      </c>
      <c r="K702">
        <v>0.69</v>
      </c>
      <c r="L702">
        <f>IF(Granger_Inventory[[#This Row],[parcel_acres]]-Granger_Inventory[[#This Row],[non_valued_acres]] =0,0,LN(Granger_Inventory[[#This Row],[parcel_acres]]-Granger_Inventory[[#This Row],[non_valued_acres]]))</f>
        <v>-0.37106368139083207</v>
      </c>
      <c r="M702">
        <v>0</v>
      </c>
      <c r="N702">
        <v>0</v>
      </c>
      <c r="O702">
        <v>0</v>
      </c>
      <c r="P702">
        <v>47108.068500000001</v>
      </c>
      <c r="Q702">
        <v>122298</v>
      </c>
      <c r="R702">
        <f>(Granger_Inventory[[#This Row],[ln_acres]]*Granger_Inventory[[#This Row],[coeff]])+Granger_Inventory[[#This Row],[const]]</f>
        <v>104817.9066791785</v>
      </c>
      <c r="AY702">
        <v>0</v>
      </c>
      <c r="AZ702">
        <v>0</v>
      </c>
      <c r="BE702">
        <v>0</v>
      </c>
      <c r="BF702">
        <v>15000</v>
      </c>
      <c r="BG702">
        <v>0</v>
      </c>
      <c r="BH702" s="8">
        <f>Granger_Inventory[[#This Row],[land_extract]]*Lookups!$B$3</f>
        <v>62443.255400312351</v>
      </c>
      <c r="BI702" s="8">
        <f>IF(Granger_Inventory[[#This Row],[bldg_style]]="",0,Lookups!$B$2)</f>
        <v>0</v>
      </c>
      <c r="BJ702" s="8">
        <f>_xlfn.IFNA(VLOOKUP(Granger_Inventory[[#This Row],[quality]],Lookups!$H$2:$J$14,3,FALSE),0)</f>
        <v>0</v>
      </c>
      <c r="BK702" s="8">
        <f>_xlfn.IFNA(VLOOKUP(Granger_Inventory[[#This Row],[condition]],Lookups!$H$17:$J$24,3,FALSE),0)</f>
        <v>0</v>
      </c>
      <c r="BL702" s="8">
        <f>Granger_Inventory[[#This Row],[Age]]*Lookups!$B$16</f>
        <v>0</v>
      </c>
      <c r="BM702" s="8">
        <f>Granger_Inventory[[#This Row],[living_area]]*Lookups!$B$17</f>
        <v>0</v>
      </c>
      <c r="BN702" s="8">
        <f>(Granger_Inventory[[#This Row],[att_gar]]+Granger_Inventory[[#This Row],[blt_gar]])*Lookups!$B$18</f>
        <v>0</v>
      </c>
      <c r="BO702" s="8">
        <f>Granger_Inventory[[#This Row],[Patio]]*Lookups!$B$19</f>
        <v>0</v>
      </c>
      <c r="BP702" s="8">
        <f>SUM(Granger_Inventory[[#This Row],[Intercept]:[Patio_Value]])*Granger_Inventory[[#This Row],[res_pct]]</f>
        <v>0</v>
      </c>
      <c r="BQ702" s="8">
        <f>Granger_Inventory[[#This Row],[land_value]]</f>
        <v>62443.255400312351</v>
      </c>
      <c r="BR702" s="4">
        <f>_xlfn.IFNA(VLOOKUP(Granger_Inventory[[#This Row],[quality]],Lookups!$A$25:$C$35,3,FALSE),1)</f>
        <v>1</v>
      </c>
      <c r="BS702" s="4">
        <f>_xlfn.IFNA(VLOOKUP(Granger_Inventory[[#This Row],[condition]],Lookups!$A$38:$C$45,3,FALSE),1)</f>
        <v>1</v>
      </c>
      <c r="BT702" s="4">
        <f>IF(Granger_Inventory[[#This Row],[decade]]="",1,_xlfn.IFNA(VLOOKUP(Granger_Inventory[[#This Row],[decade]],Lookups!$G$28:$I$42,3,FALSE),1))</f>
        <v>1</v>
      </c>
      <c r="BU702" s="4">
        <f>_xlfn.IFNA(VLOOKUP(Granger_Inventory[[#This Row],[living_area_range]],Lookups!$A$48:$C$57,3,FALSE),1)</f>
        <v>1</v>
      </c>
      <c r="BV702" s="4">
        <f>AVERAGE(Granger_Inventory[[#This Row],[qual_adj]:[living_range_adj]])</f>
        <v>1</v>
      </c>
      <c r="BW702" s="8">
        <f>(Granger_Inventory[[#This Row],[sum_land]]-IF(Granger_Inventory[[#This Row],[no_utilities]]=1,12000,0))/IF(Granger_Inventory[[#This Row],[unbuildable]]=1,2,1)</f>
        <v>62443.255400312351</v>
      </c>
      <c r="BX702" s="8">
        <f>Granger_Inventory[[#This Row],[pre_res]]*Granger_Inventory[[#This Row],[overall_adj]]</f>
        <v>0</v>
      </c>
      <c r="BY702">
        <f>IF(ROUND(Granger_Inventory[[#This Row],[adj_land]]*Lookups!$I$45,-2)&lt;Granger_Inventory[[#This Row],[min_land]],Granger_Inventory[[#This Row],[min_land]],ROUND(Granger_Inventory[[#This Row],[adj_land]]*Lookups!$I$45,-2))</f>
        <v>59300</v>
      </c>
      <c r="BZ702">
        <f>ROUND(Granger_Inventory[[#This Row],[detatched_value]]*Lookups!$I$45,-2)</f>
        <v>0</v>
      </c>
      <c r="CA70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2">
        <f>Granger_Inventory[[#This Row],[final_det]]+Granger_Inventory[[#This Row],[final_res]]</f>
        <v>0</v>
      </c>
      <c r="CC702">
        <f>Granger_Inventory[[#This Row],[final_land]]+Granger_Inventory[[#This Row],[final_imp]]+Granger_Inventory[[#This Row],[crop_value]]</f>
        <v>59300</v>
      </c>
      <c r="CE702" t="str">
        <f t="shared" si="11"/>
        <v>update valuation set market_land =59300, market_bldg=0, market_total =59300, market_mdno =402, market_date ='9/10/2023' where link_id = (select link_id from parcel where parcel_year = '2024' and parcel_id = '21102124402');</v>
      </c>
    </row>
    <row r="703" spans="1:83" x14ac:dyDescent="0.25">
      <c r="A703">
        <v>21102141414</v>
      </c>
      <c r="B703">
        <v>0.32</v>
      </c>
      <c r="C703" t="s">
        <v>137</v>
      </c>
      <c r="D703" t="s">
        <v>137</v>
      </c>
      <c r="E703" t="s">
        <v>54</v>
      </c>
      <c r="F703" t="s">
        <v>54</v>
      </c>
      <c r="G703">
        <v>3</v>
      </c>
      <c r="H703" t="s">
        <v>55</v>
      </c>
      <c r="I703">
        <v>0</v>
      </c>
      <c r="J703">
        <v>30200</v>
      </c>
      <c r="K703">
        <v>0.32</v>
      </c>
      <c r="L703">
        <f>IF(Granger_Inventory[[#This Row],[parcel_acres]]-Granger_Inventory[[#This Row],[non_valued_acres]] =0,0,LN(Granger_Inventory[[#This Row],[parcel_acres]]-Granger_Inventory[[#This Row],[non_valued_acres]]))</f>
        <v>-1.1394342831883648</v>
      </c>
      <c r="M703">
        <v>0</v>
      </c>
      <c r="N703">
        <v>0</v>
      </c>
      <c r="O703">
        <v>0</v>
      </c>
      <c r="P703">
        <v>47108.068500000001</v>
      </c>
      <c r="Q703">
        <v>122298</v>
      </c>
      <c r="R703">
        <f>(Granger_Inventory[[#This Row],[ln_acres]]*Granger_Inventory[[#This Row],[coeff]])+Granger_Inventory[[#This Row],[const]]</f>
        <v>68621.451736314106</v>
      </c>
      <c r="AY703">
        <v>0</v>
      </c>
      <c r="AZ703">
        <v>0</v>
      </c>
      <c r="BE703">
        <v>0</v>
      </c>
      <c r="BF703">
        <v>15000</v>
      </c>
      <c r="BG703">
        <v>0</v>
      </c>
      <c r="BH703" s="8">
        <f>Granger_Inventory[[#This Row],[land_extract]]*Lookups!$B$3</f>
        <v>40879.912340035793</v>
      </c>
      <c r="BI703" s="8">
        <f>IF(Granger_Inventory[[#This Row],[bldg_style]]="",0,Lookups!$B$2)</f>
        <v>0</v>
      </c>
      <c r="BJ703" s="8">
        <f>_xlfn.IFNA(VLOOKUP(Granger_Inventory[[#This Row],[quality]],Lookups!$H$2:$J$14,3,FALSE),0)</f>
        <v>0</v>
      </c>
      <c r="BK703" s="8">
        <f>_xlfn.IFNA(VLOOKUP(Granger_Inventory[[#This Row],[condition]],Lookups!$H$17:$J$24,3,FALSE),0)</f>
        <v>0</v>
      </c>
      <c r="BL703" s="8">
        <f>Granger_Inventory[[#This Row],[Age]]*Lookups!$B$16</f>
        <v>0</v>
      </c>
      <c r="BM703" s="8">
        <f>Granger_Inventory[[#This Row],[living_area]]*Lookups!$B$17</f>
        <v>0</v>
      </c>
      <c r="BN703" s="8">
        <f>(Granger_Inventory[[#This Row],[att_gar]]+Granger_Inventory[[#This Row],[blt_gar]])*Lookups!$B$18</f>
        <v>0</v>
      </c>
      <c r="BO703" s="8">
        <f>Granger_Inventory[[#This Row],[Patio]]*Lookups!$B$19</f>
        <v>0</v>
      </c>
      <c r="BP703" s="8">
        <f>SUM(Granger_Inventory[[#This Row],[Intercept]:[Patio_Value]])*Granger_Inventory[[#This Row],[res_pct]]</f>
        <v>0</v>
      </c>
      <c r="BQ703" s="8">
        <f>Granger_Inventory[[#This Row],[land_value]]</f>
        <v>40879.912340035793</v>
      </c>
      <c r="BR703" s="4">
        <f>_xlfn.IFNA(VLOOKUP(Granger_Inventory[[#This Row],[quality]],Lookups!$A$25:$C$35,3,FALSE),1)</f>
        <v>1</v>
      </c>
      <c r="BS703" s="4">
        <f>_xlfn.IFNA(VLOOKUP(Granger_Inventory[[#This Row],[condition]],Lookups!$A$38:$C$45,3,FALSE),1)</f>
        <v>1</v>
      </c>
      <c r="BT703" s="4">
        <f>IF(Granger_Inventory[[#This Row],[decade]]="",1,_xlfn.IFNA(VLOOKUP(Granger_Inventory[[#This Row],[decade]],Lookups!$G$28:$I$42,3,FALSE),1))</f>
        <v>1</v>
      </c>
      <c r="BU703" s="4">
        <f>_xlfn.IFNA(VLOOKUP(Granger_Inventory[[#This Row],[living_area_range]],Lookups!$A$48:$C$57,3,FALSE),1)</f>
        <v>1</v>
      </c>
      <c r="BV703" s="4">
        <f>AVERAGE(Granger_Inventory[[#This Row],[qual_adj]:[living_range_adj]])</f>
        <v>1</v>
      </c>
      <c r="BW703" s="8">
        <f>(Granger_Inventory[[#This Row],[sum_land]]-IF(Granger_Inventory[[#This Row],[no_utilities]]=1,12000,0))/IF(Granger_Inventory[[#This Row],[unbuildable]]=1,2,1)</f>
        <v>40879.912340035793</v>
      </c>
      <c r="BX703" s="8">
        <f>Granger_Inventory[[#This Row],[pre_res]]*Granger_Inventory[[#This Row],[overall_adj]]</f>
        <v>0</v>
      </c>
      <c r="BY703">
        <f>IF(ROUND(Granger_Inventory[[#This Row],[adj_land]]*Lookups!$I$45,-2)&lt;Granger_Inventory[[#This Row],[min_land]],Granger_Inventory[[#This Row],[min_land]],ROUND(Granger_Inventory[[#This Row],[adj_land]]*Lookups!$I$45,-2))</f>
        <v>38800</v>
      </c>
      <c r="BZ703">
        <f>ROUND(Granger_Inventory[[#This Row],[detatched_value]]*Lookups!$I$45,-2)</f>
        <v>0</v>
      </c>
      <c r="CA70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3">
        <f>Granger_Inventory[[#This Row],[final_det]]+Granger_Inventory[[#This Row],[final_res]]</f>
        <v>0</v>
      </c>
      <c r="CC703">
        <f>Granger_Inventory[[#This Row],[final_land]]+Granger_Inventory[[#This Row],[final_imp]]+Granger_Inventory[[#This Row],[crop_value]]</f>
        <v>38800</v>
      </c>
      <c r="CE703" t="str">
        <f t="shared" si="11"/>
        <v>update valuation set market_land =38800, market_bldg=0, market_total =38800, market_mdno =402, market_date ='9/10/2023' where link_id = (select link_id from parcel where parcel_year = '2024' and parcel_id = '21102141414');</v>
      </c>
    </row>
    <row r="704" spans="1:83" x14ac:dyDescent="0.25">
      <c r="A704">
        <v>21102141420</v>
      </c>
      <c r="B704">
        <v>0.24</v>
      </c>
      <c r="C704" t="s">
        <v>137</v>
      </c>
      <c r="D704" t="s">
        <v>137</v>
      </c>
      <c r="E704" t="s">
        <v>54</v>
      </c>
      <c r="F704" t="s">
        <v>54</v>
      </c>
      <c r="G704">
        <v>3</v>
      </c>
      <c r="H704" t="s">
        <v>55</v>
      </c>
      <c r="I704">
        <v>0</v>
      </c>
      <c r="J704">
        <v>28500</v>
      </c>
      <c r="K704">
        <v>0.24</v>
      </c>
      <c r="L704">
        <f>IF(Granger_Inventory[[#This Row],[parcel_acres]]-Granger_Inventory[[#This Row],[non_valued_acres]] =0,0,LN(Granger_Inventory[[#This Row],[parcel_acres]]-Granger_Inventory[[#This Row],[non_valued_acres]]))</f>
        <v>-1.4271163556401458</v>
      </c>
      <c r="M704">
        <v>0</v>
      </c>
      <c r="N704">
        <v>0</v>
      </c>
      <c r="O704">
        <v>0</v>
      </c>
      <c r="P704">
        <v>47108.068500000001</v>
      </c>
      <c r="Q704">
        <v>122298</v>
      </c>
      <c r="R704">
        <f>(Granger_Inventory[[#This Row],[ln_acres]]*Granger_Inventory[[#This Row],[coeff]])+Granger_Inventory[[#This Row],[const]]</f>
        <v>55069.304961033646</v>
      </c>
      <c r="AY704">
        <v>0</v>
      </c>
      <c r="AZ704">
        <v>0</v>
      </c>
      <c r="BE704">
        <v>0</v>
      </c>
      <c r="BF704">
        <v>15000</v>
      </c>
      <c r="BG704">
        <v>0</v>
      </c>
      <c r="BH704" s="8">
        <f>Granger_Inventory[[#This Row],[land_extract]]*Lookups!$B$3</f>
        <v>32806.481099880541</v>
      </c>
      <c r="BI704" s="8">
        <f>IF(Granger_Inventory[[#This Row],[bldg_style]]="",0,Lookups!$B$2)</f>
        <v>0</v>
      </c>
      <c r="BJ704" s="8">
        <f>_xlfn.IFNA(VLOOKUP(Granger_Inventory[[#This Row],[quality]],Lookups!$H$2:$J$14,3,FALSE),0)</f>
        <v>0</v>
      </c>
      <c r="BK704" s="8">
        <f>_xlfn.IFNA(VLOOKUP(Granger_Inventory[[#This Row],[condition]],Lookups!$H$17:$J$24,3,FALSE),0)</f>
        <v>0</v>
      </c>
      <c r="BL704" s="8">
        <f>Granger_Inventory[[#This Row],[Age]]*Lookups!$B$16</f>
        <v>0</v>
      </c>
      <c r="BM704" s="8">
        <f>Granger_Inventory[[#This Row],[living_area]]*Lookups!$B$17</f>
        <v>0</v>
      </c>
      <c r="BN704" s="8">
        <f>(Granger_Inventory[[#This Row],[att_gar]]+Granger_Inventory[[#This Row],[blt_gar]])*Lookups!$B$18</f>
        <v>0</v>
      </c>
      <c r="BO704" s="8">
        <f>Granger_Inventory[[#This Row],[Patio]]*Lookups!$B$19</f>
        <v>0</v>
      </c>
      <c r="BP704" s="8">
        <f>SUM(Granger_Inventory[[#This Row],[Intercept]:[Patio_Value]])*Granger_Inventory[[#This Row],[res_pct]]</f>
        <v>0</v>
      </c>
      <c r="BQ704" s="8">
        <f>Granger_Inventory[[#This Row],[land_value]]</f>
        <v>32806.481099880541</v>
      </c>
      <c r="BR704" s="4">
        <f>_xlfn.IFNA(VLOOKUP(Granger_Inventory[[#This Row],[quality]],Lookups!$A$25:$C$35,3,FALSE),1)</f>
        <v>1</v>
      </c>
      <c r="BS704" s="4">
        <f>_xlfn.IFNA(VLOOKUP(Granger_Inventory[[#This Row],[condition]],Lookups!$A$38:$C$45,3,FALSE),1)</f>
        <v>1</v>
      </c>
      <c r="BT704" s="4">
        <f>IF(Granger_Inventory[[#This Row],[decade]]="",1,_xlfn.IFNA(VLOOKUP(Granger_Inventory[[#This Row],[decade]],Lookups!$G$28:$I$42,3,FALSE),1))</f>
        <v>1</v>
      </c>
      <c r="BU704" s="4">
        <f>_xlfn.IFNA(VLOOKUP(Granger_Inventory[[#This Row],[living_area_range]],Lookups!$A$48:$C$57,3,FALSE),1)</f>
        <v>1</v>
      </c>
      <c r="BV704" s="4">
        <f>AVERAGE(Granger_Inventory[[#This Row],[qual_adj]:[living_range_adj]])</f>
        <v>1</v>
      </c>
      <c r="BW704" s="8">
        <f>(Granger_Inventory[[#This Row],[sum_land]]-IF(Granger_Inventory[[#This Row],[no_utilities]]=1,12000,0))/IF(Granger_Inventory[[#This Row],[unbuildable]]=1,2,1)</f>
        <v>32806.481099880541</v>
      </c>
      <c r="BX704" s="8">
        <f>Granger_Inventory[[#This Row],[pre_res]]*Granger_Inventory[[#This Row],[overall_adj]]</f>
        <v>0</v>
      </c>
      <c r="BY704">
        <f>IF(ROUND(Granger_Inventory[[#This Row],[adj_land]]*Lookups!$I$45,-2)&lt;Granger_Inventory[[#This Row],[min_land]],Granger_Inventory[[#This Row],[min_land]],ROUND(Granger_Inventory[[#This Row],[adj_land]]*Lookups!$I$45,-2))</f>
        <v>31200</v>
      </c>
      <c r="BZ704">
        <f>ROUND(Granger_Inventory[[#This Row],[detatched_value]]*Lookups!$I$45,-2)</f>
        <v>0</v>
      </c>
      <c r="CA70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4">
        <f>Granger_Inventory[[#This Row],[final_det]]+Granger_Inventory[[#This Row],[final_res]]</f>
        <v>0</v>
      </c>
      <c r="CC704">
        <f>Granger_Inventory[[#This Row],[final_land]]+Granger_Inventory[[#This Row],[final_imp]]+Granger_Inventory[[#This Row],[crop_value]]</f>
        <v>31200</v>
      </c>
      <c r="CE704" t="str">
        <f t="shared" si="11"/>
        <v>update valuation set market_land =31200, market_bldg=0, market_total =31200, market_mdno =402, market_date ='9/10/2023' where link_id = (select link_id from parcel where parcel_year = '2024' and parcel_id = '21102141420');</v>
      </c>
    </row>
    <row r="705" spans="1:83" x14ac:dyDescent="0.25">
      <c r="A705">
        <v>21102141421</v>
      </c>
      <c r="B705">
        <v>0.08</v>
      </c>
      <c r="C705" t="s">
        <v>137</v>
      </c>
      <c r="D705" t="s">
        <v>137</v>
      </c>
      <c r="E705" t="s">
        <v>54</v>
      </c>
      <c r="F705" t="s">
        <v>54</v>
      </c>
      <c r="G705">
        <v>3</v>
      </c>
      <c r="H705" t="s">
        <v>55</v>
      </c>
      <c r="I705">
        <v>0</v>
      </c>
      <c r="J705">
        <v>22100</v>
      </c>
      <c r="K705">
        <v>0.08</v>
      </c>
      <c r="L705">
        <f>IF(Granger_Inventory[[#This Row],[parcel_acres]]-Granger_Inventory[[#This Row],[non_valued_acres]] =0,0,LN(Granger_Inventory[[#This Row],[parcel_acres]]-Granger_Inventory[[#This Row],[non_valued_acres]]))</f>
        <v>-2.5257286443082556</v>
      </c>
      <c r="M705">
        <v>0</v>
      </c>
      <c r="N705">
        <v>0</v>
      </c>
      <c r="O705">
        <v>0</v>
      </c>
      <c r="P705">
        <v>47108.068500000001</v>
      </c>
      <c r="Q705">
        <v>122298</v>
      </c>
      <c r="R705">
        <f>(Granger_Inventory[[#This Row],[ln_acres]]*Granger_Inventory[[#This Row],[coeff]])+Granger_Inventory[[#This Row],[const]]</f>
        <v>3315.8020115145628</v>
      </c>
      <c r="AY705">
        <v>0</v>
      </c>
      <c r="AZ705">
        <v>0</v>
      </c>
      <c r="BE705">
        <v>0</v>
      </c>
      <c r="BF705">
        <v>15000</v>
      </c>
      <c r="BG705">
        <v>0</v>
      </c>
      <c r="BH705" s="8">
        <f>Granger_Inventory[[#This Row],[land_extract]]*Lookups!$B$3</f>
        <v>1975.3253849611797</v>
      </c>
      <c r="BI705" s="8">
        <f>IF(Granger_Inventory[[#This Row],[bldg_style]]="",0,Lookups!$B$2)</f>
        <v>0</v>
      </c>
      <c r="BJ705" s="8">
        <f>_xlfn.IFNA(VLOOKUP(Granger_Inventory[[#This Row],[quality]],Lookups!$H$2:$J$14,3,FALSE),0)</f>
        <v>0</v>
      </c>
      <c r="BK705" s="8">
        <f>_xlfn.IFNA(VLOOKUP(Granger_Inventory[[#This Row],[condition]],Lookups!$H$17:$J$24,3,FALSE),0)</f>
        <v>0</v>
      </c>
      <c r="BL705" s="8">
        <f>Granger_Inventory[[#This Row],[Age]]*Lookups!$B$16</f>
        <v>0</v>
      </c>
      <c r="BM705" s="8">
        <f>Granger_Inventory[[#This Row],[living_area]]*Lookups!$B$17</f>
        <v>0</v>
      </c>
      <c r="BN705" s="8">
        <f>(Granger_Inventory[[#This Row],[att_gar]]+Granger_Inventory[[#This Row],[blt_gar]])*Lookups!$B$18</f>
        <v>0</v>
      </c>
      <c r="BO705" s="8">
        <f>Granger_Inventory[[#This Row],[Patio]]*Lookups!$B$19</f>
        <v>0</v>
      </c>
      <c r="BP705" s="8">
        <f>SUM(Granger_Inventory[[#This Row],[Intercept]:[Patio_Value]])*Granger_Inventory[[#This Row],[res_pct]]</f>
        <v>0</v>
      </c>
      <c r="BQ705" s="8">
        <f>Granger_Inventory[[#This Row],[land_value]]</f>
        <v>1975.3253849611797</v>
      </c>
      <c r="BR705" s="4">
        <f>_xlfn.IFNA(VLOOKUP(Granger_Inventory[[#This Row],[quality]],Lookups!$A$25:$C$35,3,FALSE),1)</f>
        <v>1</v>
      </c>
      <c r="BS705" s="4">
        <f>_xlfn.IFNA(VLOOKUP(Granger_Inventory[[#This Row],[condition]],Lookups!$A$38:$C$45,3,FALSE),1)</f>
        <v>1</v>
      </c>
      <c r="BT705" s="4">
        <f>IF(Granger_Inventory[[#This Row],[decade]]="",1,_xlfn.IFNA(VLOOKUP(Granger_Inventory[[#This Row],[decade]],Lookups!$G$28:$I$42,3,FALSE),1))</f>
        <v>1</v>
      </c>
      <c r="BU705" s="4">
        <f>_xlfn.IFNA(VLOOKUP(Granger_Inventory[[#This Row],[living_area_range]],Lookups!$A$48:$C$57,3,FALSE),1)</f>
        <v>1</v>
      </c>
      <c r="BV705" s="4">
        <f>AVERAGE(Granger_Inventory[[#This Row],[qual_adj]:[living_range_adj]])</f>
        <v>1</v>
      </c>
      <c r="BW705" s="8">
        <f>(Granger_Inventory[[#This Row],[sum_land]]-IF(Granger_Inventory[[#This Row],[no_utilities]]=1,12000,0))/IF(Granger_Inventory[[#This Row],[unbuildable]]=1,2,1)</f>
        <v>1975.3253849611797</v>
      </c>
      <c r="BX705" s="8">
        <f>Granger_Inventory[[#This Row],[pre_res]]*Granger_Inventory[[#This Row],[overall_adj]]</f>
        <v>0</v>
      </c>
      <c r="BY705">
        <f>IF(ROUND(Granger_Inventory[[#This Row],[adj_land]]*Lookups!$I$45,-2)&lt;Granger_Inventory[[#This Row],[min_land]],Granger_Inventory[[#This Row],[min_land]],ROUND(Granger_Inventory[[#This Row],[adj_land]]*Lookups!$I$45,-2))</f>
        <v>15000</v>
      </c>
      <c r="BZ705">
        <f>ROUND(Granger_Inventory[[#This Row],[detatched_value]]*Lookups!$I$45,-2)</f>
        <v>0</v>
      </c>
      <c r="CA70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5">
        <f>Granger_Inventory[[#This Row],[final_det]]+Granger_Inventory[[#This Row],[final_res]]</f>
        <v>0</v>
      </c>
      <c r="CC705">
        <f>Granger_Inventory[[#This Row],[final_land]]+Granger_Inventory[[#This Row],[final_imp]]+Granger_Inventory[[#This Row],[crop_value]]</f>
        <v>15000</v>
      </c>
      <c r="CE705" t="str">
        <f t="shared" si="11"/>
        <v>update valuation set market_land =15000, market_bldg=0, market_total =15000, market_mdno =402, market_date ='9/10/2023' where link_id = (select link_id from parcel where parcel_year = '2024' and parcel_id = '21102141421');</v>
      </c>
    </row>
    <row r="706" spans="1:83" x14ac:dyDescent="0.25">
      <c r="A706">
        <v>21102142419</v>
      </c>
      <c r="B706">
        <v>0.27</v>
      </c>
      <c r="C706">
        <v>11969</v>
      </c>
      <c r="D706" t="s">
        <v>137</v>
      </c>
      <c r="E706" t="s">
        <v>54</v>
      </c>
      <c r="F706" t="s">
        <v>54</v>
      </c>
      <c r="G706">
        <v>3</v>
      </c>
      <c r="H706" t="s">
        <v>55</v>
      </c>
      <c r="I706">
        <v>0</v>
      </c>
      <c r="J706">
        <v>29200</v>
      </c>
      <c r="K706">
        <v>0.27</v>
      </c>
      <c r="L706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706">
        <v>0</v>
      </c>
      <c r="N706">
        <v>0</v>
      </c>
      <c r="O706">
        <v>0</v>
      </c>
      <c r="P706">
        <v>47108.068500000001</v>
      </c>
      <c r="Q706">
        <v>122298</v>
      </c>
      <c r="R706">
        <f>(Granger_Inventory[[#This Row],[ln_acres]]*Granger_Inventory[[#This Row],[coeff]])+Granger_Inventory[[#This Row],[const]]</f>
        <v>60617.836272872511</v>
      </c>
      <c r="AY706">
        <v>0</v>
      </c>
      <c r="AZ706">
        <v>0</v>
      </c>
      <c r="BE706">
        <v>0</v>
      </c>
      <c r="BF706">
        <v>15000</v>
      </c>
      <c r="BG706">
        <v>0</v>
      </c>
      <c r="BH706" s="8">
        <f>Granger_Inventory[[#This Row],[land_extract]]*Lookups!$B$3</f>
        <v>36111.912097107357</v>
      </c>
      <c r="BI706" s="8">
        <f>IF(Granger_Inventory[[#This Row],[bldg_style]]="",0,Lookups!$B$2)</f>
        <v>0</v>
      </c>
      <c r="BJ706" s="8">
        <f>_xlfn.IFNA(VLOOKUP(Granger_Inventory[[#This Row],[quality]],Lookups!$H$2:$J$14,3,FALSE),0)</f>
        <v>0</v>
      </c>
      <c r="BK706" s="8">
        <f>_xlfn.IFNA(VLOOKUP(Granger_Inventory[[#This Row],[condition]],Lookups!$H$17:$J$24,3,FALSE),0)</f>
        <v>0</v>
      </c>
      <c r="BL706" s="8">
        <f>Granger_Inventory[[#This Row],[Age]]*Lookups!$B$16</f>
        <v>0</v>
      </c>
      <c r="BM706" s="8">
        <f>Granger_Inventory[[#This Row],[living_area]]*Lookups!$B$17</f>
        <v>0</v>
      </c>
      <c r="BN706" s="8">
        <f>(Granger_Inventory[[#This Row],[att_gar]]+Granger_Inventory[[#This Row],[blt_gar]])*Lookups!$B$18</f>
        <v>0</v>
      </c>
      <c r="BO706" s="8">
        <f>Granger_Inventory[[#This Row],[Patio]]*Lookups!$B$19</f>
        <v>0</v>
      </c>
      <c r="BP706" s="8">
        <f>SUM(Granger_Inventory[[#This Row],[Intercept]:[Patio_Value]])*Granger_Inventory[[#This Row],[res_pct]]</f>
        <v>0</v>
      </c>
      <c r="BQ706" s="8">
        <f>Granger_Inventory[[#This Row],[land_value]]</f>
        <v>36111.912097107357</v>
      </c>
      <c r="BR706" s="4">
        <f>_xlfn.IFNA(VLOOKUP(Granger_Inventory[[#This Row],[quality]],Lookups!$A$25:$C$35,3,FALSE),1)</f>
        <v>1</v>
      </c>
      <c r="BS706" s="4">
        <f>_xlfn.IFNA(VLOOKUP(Granger_Inventory[[#This Row],[condition]],Lookups!$A$38:$C$45,3,FALSE),1)</f>
        <v>1</v>
      </c>
      <c r="BT706" s="4">
        <f>IF(Granger_Inventory[[#This Row],[decade]]="",1,_xlfn.IFNA(VLOOKUP(Granger_Inventory[[#This Row],[decade]],Lookups!$G$28:$I$42,3,FALSE),1))</f>
        <v>1</v>
      </c>
      <c r="BU706" s="4">
        <f>_xlfn.IFNA(VLOOKUP(Granger_Inventory[[#This Row],[living_area_range]],Lookups!$A$48:$C$57,3,FALSE),1)</f>
        <v>1</v>
      </c>
      <c r="BV706" s="4">
        <f>AVERAGE(Granger_Inventory[[#This Row],[qual_adj]:[living_range_adj]])</f>
        <v>1</v>
      </c>
      <c r="BW706" s="8">
        <f>(Granger_Inventory[[#This Row],[sum_land]]-IF(Granger_Inventory[[#This Row],[no_utilities]]=1,12000,0))/IF(Granger_Inventory[[#This Row],[unbuildable]]=1,2,1)</f>
        <v>36111.912097107357</v>
      </c>
      <c r="BX706" s="8">
        <f>Granger_Inventory[[#This Row],[pre_res]]*Granger_Inventory[[#This Row],[overall_adj]]</f>
        <v>0</v>
      </c>
      <c r="BY706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706">
        <f>ROUND(Granger_Inventory[[#This Row],[detatched_value]]*Lookups!$I$45,-2)</f>
        <v>0</v>
      </c>
      <c r="CA70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6">
        <f>Granger_Inventory[[#This Row],[final_det]]+Granger_Inventory[[#This Row],[final_res]]</f>
        <v>0</v>
      </c>
      <c r="CC706">
        <f>Granger_Inventory[[#This Row],[final_land]]+Granger_Inventory[[#This Row],[final_imp]]+Granger_Inventory[[#This Row],[crop_value]]</f>
        <v>34300</v>
      </c>
      <c r="CE706" t="str">
        <f t="shared" ref="CE706:CE732" si="12">"update valuation set market_land ="&amp;BY706&amp;", market_bldg="&amp;CB706&amp;", market_total ="&amp;CC706&amp;", market_mdno ="&amp;$CE$1&amp;", market_date ='"&amp;TEXT($CF$1,"m/d/yyyy")&amp;"' where link_id = (select link_id from parcel where parcel_year = '2024' and parcel_id = '"&amp;A706&amp;"');"</f>
        <v>update valuation set market_land =34300, market_bldg=0, market_total =34300, market_mdno =402, market_date ='9/10/2023' where link_id = (select link_id from parcel where parcel_year = '2024' and parcel_id = '21102142419');</v>
      </c>
    </row>
    <row r="707" spans="1:83" x14ac:dyDescent="0.25">
      <c r="A707">
        <v>21102142420</v>
      </c>
      <c r="B707">
        <v>0.27</v>
      </c>
      <c r="C707">
        <v>11678</v>
      </c>
      <c r="D707" t="s">
        <v>137</v>
      </c>
      <c r="E707" t="s">
        <v>54</v>
      </c>
      <c r="F707" t="s">
        <v>54</v>
      </c>
      <c r="G707">
        <v>3</v>
      </c>
      <c r="H707" t="s">
        <v>55</v>
      </c>
      <c r="I707">
        <v>0</v>
      </c>
      <c r="J707">
        <v>3500</v>
      </c>
      <c r="K707">
        <v>0.27</v>
      </c>
      <c r="L707">
        <f>IF(Granger_Inventory[[#This Row],[parcel_acres]]-Granger_Inventory[[#This Row],[non_valued_acres]] =0,0,LN(Granger_Inventory[[#This Row],[parcel_acres]]-Granger_Inventory[[#This Row],[non_valued_acres]]))</f>
        <v>-1.3093333199837622</v>
      </c>
      <c r="M707">
        <v>0</v>
      </c>
      <c r="N707">
        <v>0</v>
      </c>
      <c r="O707">
        <v>0</v>
      </c>
      <c r="P707">
        <v>47108.068500000001</v>
      </c>
      <c r="Q707">
        <v>122298</v>
      </c>
      <c r="R707">
        <f>(Granger_Inventory[[#This Row],[ln_acres]]*Granger_Inventory[[#This Row],[coeff]])+Granger_Inventory[[#This Row],[const]]</f>
        <v>60617.836272872511</v>
      </c>
      <c r="AY707">
        <v>0</v>
      </c>
      <c r="AZ707">
        <v>0</v>
      </c>
      <c r="BE707">
        <v>0</v>
      </c>
      <c r="BF707">
        <v>15000</v>
      </c>
      <c r="BG707">
        <v>0</v>
      </c>
      <c r="BH707" s="8">
        <f>Granger_Inventory[[#This Row],[land_extract]]*Lookups!$B$3</f>
        <v>36111.912097107357</v>
      </c>
      <c r="BI707" s="8">
        <f>IF(Granger_Inventory[[#This Row],[bldg_style]]="",0,Lookups!$B$2)</f>
        <v>0</v>
      </c>
      <c r="BJ707" s="8">
        <f>_xlfn.IFNA(VLOOKUP(Granger_Inventory[[#This Row],[quality]],Lookups!$H$2:$J$14,3,FALSE),0)</f>
        <v>0</v>
      </c>
      <c r="BK707" s="8">
        <f>_xlfn.IFNA(VLOOKUP(Granger_Inventory[[#This Row],[condition]],Lookups!$H$17:$J$24,3,FALSE),0)</f>
        <v>0</v>
      </c>
      <c r="BL707" s="8">
        <f>Granger_Inventory[[#This Row],[Age]]*Lookups!$B$16</f>
        <v>0</v>
      </c>
      <c r="BM707" s="8">
        <f>Granger_Inventory[[#This Row],[living_area]]*Lookups!$B$17</f>
        <v>0</v>
      </c>
      <c r="BN707" s="8">
        <f>(Granger_Inventory[[#This Row],[att_gar]]+Granger_Inventory[[#This Row],[blt_gar]])*Lookups!$B$18</f>
        <v>0</v>
      </c>
      <c r="BO707" s="8">
        <f>Granger_Inventory[[#This Row],[Patio]]*Lookups!$B$19</f>
        <v>0</v>
      </c>
      <c r="BP707" s="8">
        <f>SUM(Granger_Inventory[[#This Row],[Intercept]:[Patio_Value]])*Granger_Inventory[[#This Row],[res_pct]]</f>
        <v>0</v>
      </c>
      <c r="BQ707" s="8">
        <f>Granger_Inventory[[#This Row],[land_value]]</f>
        <v>36111.912097107357</v>
      </c>
      <c r="BR707" s="4">
        <f>_xlfn.IFNA(VLOOKUP(Granger_Inventory[[#This Row],[quality]],Lookups!$A$25:$C$35,3,FALSE),1)</f>
        <v>1</v>
      </c>
      <c r="BS707" s="4">
        <f>_xlfn.IFNA(VLOOKUP(Granger_Inventory[[#This Row],[condition]],Lookups!$A$38:$C$45,3,FALSE),1)</f>
        <v>1</v>
      </c>
      <c r="BT707" s="4">
        <f>IF(Granger_Inventory[[#This Row],[decade]]="",1,_xlfn.IFNA(VLOOKUP(Granger_Inventory[[#This Row],[decade]],Lookups!$G$28:$I$42,3,FALSE),1))</f>
        <v>1</v>
      </c>
      <c r="BU707" s="4">
        <f>_xlfn.IFNA(VLOOKUP(Granger_Inventory[[#This Row],[living_area_range]],Lookups!$A$48:$C$57,3,FALSE),1)</f>
        <v>1</v>
      </c>
      <c r="BV707" s="4">
        <f>AVERAGE(Granger_Inventory[[#This Row],[qual_adj]:[living_range_adj]])</f>
        <v>1</v>
      </c>
      <c r="BW707" s="8">
        <f>(Granger_Inventory[[#This Row],[sum_land]]-IF(Granger_Inventory[[#This Row],[no_utilities]]=1,12000,0))/IF(Granger_Inventory[[#This Row],[unbuildable]]=1,2,1)</f>
        <v>36111.912097107357</v>
      </c>
      <c r="BX707" s="8">
        <f>Granger_Inventory[[#This Row],[pre_res]]*Granger_Inventory[[#This Row],[overall_adj]]</f>
        <v>0</v>
      </c>
      <c r="BY707">
        <f>IF(ROUND(Granger_Inventory[[#This Row],[adj_land]]*Lookups!$I$45,-2)&lt;Granger_Inventory[[#This Row],[min_land]],Granger_Inventory[[#This Row],[min_land]],ROUND(Granger_Inventory[[#This Row],[adj_land]]*Lookups!$I$45,-2))</f>
        <v>34300</v>
      </c>
      <c r="BZ707">
        <f>ROUND(Granger_Inventory[[#This Row],[detatched_value]]*Lookups!$I$45,-2)</f>
        <v>0</v>
      </c>
      <c r="CA70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7">
        <f>Granger_Inventory[[#This Row],[final_det]]+Granger_Inventory[[#This Row],[final_res]]</f>
        <v>0</v>
      </c>
      <c r="CC707">
        <f>Granger_Inventory[[#This Row],[final_land]]+Granger_Inventory[[#This Row],[final_imp]]+Granger_Inventory[[#This Row],[crop_value]]</f>
        <v>34300</v>
      </c>
      <c r="CE707" t="str">
        <f t="shared" si="12"/>
        <v>update valuation set market_land =34300, market_bldg=0, market_total =34300, market_mdno =402, market_date ='9/10/2023' where link_id = (select link_id from parcel where parcel_year = '2024' and parcel_id = '21102142420');</v>
      </c>
    </row>
    <row r="708" spans="1:83" x14ac:dyDescent="0.25">
      <c r="A708">
        <v>21102142422</v>
      </c>
      <c r="B708">
        <v>0.28999999999999998</v>
      </c>
      <c r="C708">
        <v>12642</v>
      </c>
      <c r="D708" t="s">
        <v>137</v>
      </c>
      <c r="E708" t="s">
        <v>54</v>
      </c>
      <c r="F708" t="s">
        <v>54</v>
      </c>
      <c r="G708">
        <v>3</v>
      </c>
      <c r="H708" t="s">
        <v>55</v>
      </c>
      <c r="I708">
        <v>0</v>
      </c>
      <c r="J708">
        <v>29600</v>
      </c>
      <c r="K708">
        <v>0.28999999999999998</v>
      </c>
      <c r="L708">
        <f>IF(Granger_Inventory[[#This Row],[parcel_acres]]-Granger_Inventory[[#This Row],[non_valued_acres]] =0,0,LN(Granger_Inventory[[#This Row],[parcel_acres]]-Granger_Inventory[[#This Row],[non_valued_acres]]))</f>
        <v>-1.2378743560016174</v>
      </c>
      <c r="M708">
        <v>0</v>
      </c>
      <c r="N708">
        <v>0</v>
      </c>
      <c r="O708">
        <v>0</v>
      </c>
      <c r="P708">
        <v>47108.068500000001</v>
      </c>
      <c r="Q708">
        <v>122298</v>
      </c>
      <c r="R708">
        <f>(Granger_Inventory[[#This Row],[ln_acres]]*Granger_Inventory[[#This Row],[coeff]])+Granger_Inventory[[#This Row],[const]]</f>
        <v>63984.130043082419</v>
      </c>
      <c r="AY708">
        <v>0</v>
      </c>
      <c r="AZ708">
        <v>0</v>
      </c>
      <c r="BE708">
        <v>0</v>
      </c>
      <c r="BF708">
        <v>15000</v>
      </c>
      <c r="BG708">
        <v>0</v>
      </c>
      <c r="BH708" s="8">
        <f>Granger_Inventory[[#This Row],[land_extract]]*Lookups!$B$3</f>
        <v>38117.316977869523</v>
      </c>
      <c r="BI708" s="8">
        <f>IF(Granger_Inventory[[#This Row],[bldg_style]]="",0,Lookups!$B$2)</f>
        <v>0</v>
      </c>
      <c r="BJ708" s="8">
        <f>_xlfn.IFNA(VLOOKUP(Granger_Inventory[[#This Row],[quality]],Lookups!$H$2:$J$14,3,FALSE),0)</f>
        <v>0</v>
      </c>
      <c r="BK708" s="8">
        <f>_xlfn.IFNA(VLOOKUP(Granger_Inventory[[#This Row],[condition]],Lookups!$H$17:$J$24,3,FALSE),0)</f>
        <v>0</v>
      </c>
      <c r="BL708" s="8">
        <f>Granger_Inventory[[#This Row],[Age]]*Lookups!$B$16</f>
        <v>0</v>
      </c>
      <c r="BM708" s="8">
        <f>Granger_Inventory[[#This Row],[living_area]]*Lookups!$B$17</f>
        <v>0</v>
      </c>
      <c r="BN708" s="8">
        <f>(Granger_Inventory[[#This Row],[att_gar]]+Granger_Inventory[[#This Row],[blt_gar]])*Lookups!$B$18</f>
        <v>0</v>
      </c>
      <c r="BO708" s="8">
        <f>Granger_Inventory[[#This Row],[Patio]]*Lookups!$B$19</f>
        <v>0</v>
      </c>
      <c r="BP708" s="8">
        <f>SUM(Granger_Inventory[[#This Row],[Intercept]:[Patio_Value]])*Granger_Inventory[[#This Row],[res_pct]]</f>
        <v>0</v>
      </c>
      <c r="BQ708" s="8">
        <f>Granger_Inventory[[#This Row],[land_value]]</f>
        <v>38117.316977869523</v>
      </c>
      <c r="BR708" s="4">
        <f>_xlfn.IFNA(VLOOKUP(Granger_Inventory[[#This Row],[quality]],Lookups!$A$25:$C$35,3,FALSE),1)</f>
        <v>1</v>
      </c>
      <c r="BS708" s="4">
        <f>_xlfn.IFNA(VLOOKUP(Granger_Inventory[[#This Row],[condition]],Lookups!$A$38:$C$45,3,FALSE),1)</f>
        <v>1</v>
      </c>
      <c r="BT708" s="4">
        <f>IF(Granger_Inventory[[#This Row],[decade]]="",1,_xlfn.IFNA(VLOOKUP(Granger_Inventory[[#This Row],[decade]],Lookups!$G$28:$I$42,3,FALSE),1))</f>
        <v>1</v>
      </c>
      <c r="BU708" s="4">
        <f>_xlfn.IFNA(VLOOKUP(Granger_Inventory[[#This Row],[living_area_range]],Lookups!$A$48:$C$57,3,FALSE),1)</f>
        <v>1</v>
      </c>
      <c r="BV708" s="4">
        <f>AVERAGE(Granger_Inventory[[#This Row],[qual_adj]:[living_range_adj]])</f>
        <v>1</v>
      </c>
      <c r="BW708" s="8">
        <f>(Granger_Inventory[[#This Row],[sum_land]]-IF(Granger_Inventory[[#This Row],[no_utilities]]=1,12000,0))/IF(Granger_Inventory[[#This Row],[unbuildable]]=1,2,1)</f>
        <v>38117.316977869523</v>
      </c>
      <c r="BX708" s="8">
        <f>Granger_Inventory[[#This Row],[pre_res]]*Granger_Inventory[[#This Row],[overall_adj]]</f>
        <v>0</v>
      </c>
      <c r="BY708">
        <f>IF(ROUND(Granger_Inventory[[#This Row],[adj_land]]*Lookups!$I$45,-2)&lt;Granger_Inventory[[#This Row],[min_land]],Granger_Inventory[[#This Row],[min_land]],ROUND(Granger_Inventory[[#This Row],[adj_land]]*Lookups!$I$45,-2))</f>
        <v>36200</v>
      </c>
      <c r="BZ708">
        <f>ROUND(Granger_Inventory[[#This Row],[detatched_value]]*Lookups!$I$45,-2)</f>
        <v>0</v>
      </c>
      <c r="CA70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8">
        <f>Granger_Inventory[[#This Row],[final_det]]+Granger_Inventory[[#This Row],[final_res]]</f>
        <v>0</v>
      </c>
      <c r="CC708">
        <f>Granger_Inventory[[#This Row],[final_land]]+Granger_Inventory[[#This Row],[final_imp]]+Granger_Inventory[[#This Row],[crop_value]]</f>
        <v>36200</v>
      </c>
      <c r="CE708" t="str">
        <f t="shared" si="12"/>
        <v>update valuation set market_land =36200, market_bldg=0, market_total =36200, market_mdno =402, market_date ='9/10/2023' where link_id = (select link_id from parcel where parcel_year = '2024' and parcel_id = '21102142422');</v>
      </c>
    </row>
    <row r="709" spans="1:83" x14ac:dyDescent="0.25">
      <c r="A709">
        <v>21102212010</v>
      </c>
      <c r="B709">
        <v>8.42</v>
      </c>
      <c r="C709">
        <v>366629</v>
      </c>
      <c r="D709" t="s">
        <v>137</v>
      </c>
      <c r="E709" t="s">
        <v>54</v>
      </c>
      <c r="F709" t="s">
        <v>54</v>
      </c>
      <c r="G709">
        <v>3</v>
      </c>
      <c r="H709" t="s">
        <v>55</v>
      </c>
      <c r="I709">
        <v>10200</v>
      </c>
      <c r="J709">
        <v>49200</v>
      </c>
      <c r="K709">
        <v>8.42</v>
      </c>
      <c r="L709">
        <f>IF(Granger_Inventory[[#This Row],[parcel_acres]]-Granger_Inventory[[#This Row],[non_valued_acres]] =0,0,LN(Granger_Inventory[[#This Row],[parcel_acres]]-Granger_Inventory[[#This Row],[non_valued_acres]]))</f>
        <v>2.1306098282542352</v>
      </c>
      <c r="M709">
        <v>0</v>
      </c>
      <c r="N709">
        <v>0</v>
      </c>
      <c r="O709">
        <v>0</v>
      </c>
      <c r="P709">
        <v>47108.068500000001</v>
      </c>
      <c r="Q709">
        <v>122298</v>
      </c>
      <c r="R709">
        <f>(Granger_Inventory[[#This Row],[ln_acres]]*Granger_Inventory[[#This Row],[coeff]])+Granger_Inventory[[#This Row],[const]]</f>
        <v>222666.91373617377</v>
      </c>
      <c r="AY709">
        <v>10200</v>
      </c>
      <c r="AZ709">
        <v>0</v>
      </c>
      <c r="BE709">
        <v>0</v>
      </c>
      <c r="BF709">
        <v>15000</v>
      </c>
      <c r="BG709">
        <v>0</v>
      </c>
      <c r="BH709" s="8">
        <f>Granger_Inventory[[#This Row],[land_extract]]*Lookups!$B$3</f>
        <v>132649.53865358178</v>
      </c>
      <c r="BI709" s="8">
        <f>IF(Granger_Inventory[[#This Row],[bldg_style]]="",0,Lookups!$B$2)</f>
        <v>0</v>
      </c>
      <c r="BJ709" s="8">
        <f>_xlfn.IFNA(VLOOKUP(Granger_Inventory[[#This Row],[quality]],Lookups!$H$2:$J$14,3,FALSE),0)</f>
        <v>0</v>
      </c>
      <c r="BK709" s="8">
        <f>_xlfn.IFNA(VLOOKUP(Granger_Inventory[[#This Row],[condition]],Lookups!$H$17:$J$24,3,FALSE),0)</f>
        <v>0</v>
      </c>
      <c r="BL709" s="8">
        <f>Granger_Inventory[[#This Row],[Age]]*Lookups!$B$16</f>
        <v>0</v>
      </c>
      <c r="BM709" s="8">
        <f>Granger_Inventory[[#This Row],[living_area]]*Lookups!$B$17</f>
        <v>0</v>
      </c>
      <c r="BN709" s="8">
        <f>(Granger_Inventory[[#This Row],[att_gar]]+Granger_Inventory[[#This Row],[blt_gar]])*Lookups!$B$18</f>
        <v>0</v>
      </c>
      <c r="BO709" s="8">
        <f>Granger_Inventory[[#This Row],[Patio]]*Lookups!$B$19</f>
        <v>0</v>
      </c>
      <c r="BP709" s="8">
        <f>SUM(Granger_Inventory[[#This Row],[Intercept]:[Patio_Value]])*Granger_Inventory[[#This Row],[res_pct]]</f>
        <v>0</v>
      </c>
      <c r="BQ709" s="8">
        <f>Granger_Inventory[[#This Row],[land_value]]</f>
        <v>132649.53865358178</v>
      </c>
      <c r="BR709" s="4">
        <f>_xlfn.IFNA(VLOOKUP(Granger_Inventory[[#This Row],[quality]],Lookups!$A$25:$C$35,3,FALSE),1)</f>
        <v>1</v>
      </c>
      <c r="BS709" s="4">
        <f>_xlfn.IFNA(VLOOKUP(Granger_Inventory[[#This Row],[condition]],Lookups!$A$38:$C$45,3,FALSE),1)</f>
        <v>1</v>
      </c>
      <c r="BT709" s="4">
        <f>IF(Granger_Inventory[[#This Row],[decade]]="",1,_xlfn.IFNA(VLOOKUP(Granger_Inventory[[#This Row],[decade]],Lookups!$G$28:$I$42,3,FALSE),1))</f>
        <v>1</v>
      </c>
      <c r="BU709" s="4">
        <f>_xlfn.IFNA(VLOOKUP(Granger_Inventory[[#This Row],[living_area_range]],Lookups!$A$48:$C$57,3,FALSE),1)</f>
        <v>1</v>
      </c>
      <c r="BV709" s="4">
        <f>AVERAGE(Granger_Inventory[[#This Row],[qual_adj]:[living_range_adj]])</f>
        <v>1</v>
      </c>
      <c r="BW709" s="8">
        <f>(Granger_Inventory[[#This Row],[sum_land]]-IF(Granger_Inventory[[#This Row],[no_utilities]]=1,12000,0))/IF(Granger_Inventory[[#This Row],[unbuildable]]=1,2,1)</f>
        <v>132649.53865358178</v>
      </c>
      <c r="BX709" s="8">
        <f>Granger_Inventory[[#This Row],[pre_res]]*Granger_Inventory[[#This Row],[overall_adj]]</f>
        <v>0</v>
      </c>
      <c r="BY709">
        <f>IF(ROUND(Granger_Inventory[[#This Row],[adj_land]]*Lookups!$I$45,-2)&lt;Granger_Inventory[[#This Row],[min_land]],Granger_Inventory[[#This Row],[min_land]],ROUND(Granger_Inventory[[#This Row],[adj_land]]*Lookups!$I$45,-2))</f>
        <v>126000</v>
      </c>
      <c r="BZ709">
        <f>ROUND(Granger_Inventory[[#This Row],[detatched_value]]*Lookups!$I$45,-2)</f>
        <v>0</v>
      </c>
      <c r="CA70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09">
        <f>Granger_Inventory[[#This Row],[final_det]]+Granger_Inventory[[#This Row],[final_res]]</f>
        <v>0</v>
      </c>
      <c r="CC709">
        <f>Granger_Inventory[[#This Row],[final_land]]+Granger_Inventory[[#This Row],[final_imp]]+Granger_Inventory[[#This Row],[crop_value]]</f>
        <v>136200</v>
      </c>
      <c r="CE709" t="str">
        <f t="shared" si="12"/>
        <v>update valuation set market_land =126000, market_bldg=0, market_total =136200, market_mdno =402, market_date ='9/10/2023' where link_id = (select link_id from parcel where parcel_year = '2024' and parcel_id = '21102212010');</v>
      </c>
    </row>
    <row r="710" spans="1:83" x14ac:dyDescent="0.25">
      <c r="A710">
        <v>21102212014</v>
      </c>
      <c r="B710">
        <v>0.55000000000000004</v>
      </c>
      <c r="C710">
        <v>24083</v>
      </c>
      <c r="D710" t="s">
        <v>137</v>
      </c>
      <c r="E710" t="s">
        <v>54</v>
      </c>
      <c r="F710" t="s">
        <v>54</v>
      </c>
      <c r="G710">
        <v>3</v>
      </c>
      <c r="H710" t="s">
        <v>55</v>
      </c>
      <c r="I710">
        <v>0</v>
      </c>
      <c r="J710">
        <v>2000</v>
      </c>
      <c r="K710">
        <v>0.55000000000000004</v>
      </c>
      <c r="L710">
        <f>IF(Granger_Inventory[[#This Row],[parcel_acres]]-Granger_Inventory[[#This Row],[non_valued_acres]] =0,0,LN(Granger_Inventory[[#This Row],[parcel_acres]]-Granger_Inventory[[#This Row],[non_valued_acres]]))</f>
        <v>-0.59783700075562041</v>
      </c>
      <c r="M710">
        <v>0</v>
      </c>
      <c r="N710">
        <v>0</v>
      </c>
      <c r="O710">
        <v>0</v>
      </c>
      <c r="P710">
        <v>47108.068500000001</v>
      </c>
      <c r="Q710">
        <v>122298</v>
      </c>
      <c r="R710">
        <f>(Granger_Inventory[[#This Row],[ln_acres]]*Granger_Inventory[[#This Row],[coeff]])+Granger_Inventory[[#This Row],[const]]</f>
        <v>94135.053616569683</v>
      </c>
      <c r="AY710">
        <v>0</v>
      </c>
      <c r="AZ710">
        <v>0</v>
      </c>
      <c r="BE710">
        <v>0</v>
      </c>
      <c r="BF710">
        <v>15000</v>
      </c>
      <c r="BG710">
        <v>0</v>
      </c>
      <c r="BH710" s="8">
        <f>Granger_Inventory[[#This Row],[land_extract]]*Lookups!$B$3</f>
        <v>56079.150799041949</v>
      </c>
      <c r="BI710" s="8">
        <f>IF(Granger_Inventory[[#This Row],[bldg_style]]="",0,Lookups!$B$2)</f>
        <v>0</v>
      </c>
      <c r="BJ710" s="8">
        <f>_xlfn.IFNA(VLOOKUP(Granger_Inventory[[#This Row],[quality]],Lookups!$H$2:$J$14,3,FALSE),0)</f>
        <v>0</v>
      </c>
      <c r="BK710" s="8">
        <f>_xlfn.IFNA(VLOOKUP(Granger_Inventory[[#This Row],[condition]],Lookups!$H$17:$J$24,3,FALSE),0)</f>
        <v>0</v>
      </c>
      <c r="BL710" s="8">
        <f>Granger_Inventory[[#This Row],[Age]]*Lookups!$B$16</f>
        <v>0</v>
      </c>
      <c r="BM710" s="8">
        <f>Granger_Inventory[[#This Row],[living_area]]*Lookups!$B$17</f>
        <v>0</v>
      </c>
      <c r="BN710" s="8">
        <f>(Granger_Inventory[[#This Row],[att_gar]]+Granger_Inventory[[#This Row],[blt_gar]])*Lookups!$B$18</f>
        <v>0</v>
      </c>
      <c r="BO710" s="8">
        <f>Granger_Inventory[[#This Row],[Patio]]*Lookups!$B$19</f>
        <v>0</v>
      </c>
      <c r="BP710" s="8">
        <f>SUM(Granger_Inventory[[#This Row],[Intercept]:[Patio_Value]])*Granger_Inventory[[#This Row],[res_pct]]</f>
        <v>0</v>
      </c>
      <c r="BQ710" s="8">
        <f>Granger_Inventory[[#This Row],[land_value]]</f>
        <v>56079.150799041949</v>
      </c>
      <c r="BR710" s="4">
        <f>_xlfn.IFNA(VLOOKUP(Granger_Inventory[[#This Row],[quality]],Lookups!$A$25:$C$35,3,FALSE),1)</f>
        <v>1</v>
      </c>
      <c r="BS710" s="4">
        <f>_xlfn.IFNA(VLOOKUP(Granger_Inventory[[#This Row],[condition]],Lookups!$A$38:$C$45,3,FALSE),1)</f>
        <v>1</v>
      </c>
      <c r="BT710" s="4">
        <f>IF(Granger_Inventory[[#This Row],[decade]]="",1,_xlfn.IFNA(VLOOKUP(Granger_Inventory[[#This Row],[decade]],Lookups!$G$28:$I$42,3,FALSE),1))</f>
        <v>1</v>
      </c>
      <c r="BU710" s="4">
        <f>_xlfn.IFNA(VLOOKUP(Granger_Inventory[[#This Row],[living_area_range]],Lookups!$A$48:$C$57,3,FALSE),1)</f>
        <v>1</v>
      </c>
      <c r="BV710" s="4">
        <f>AVERAGE(Granger_Inventory[[#This Row],[qual_adj]:[living_range_adj]])</f>
        <v>1</v>
      </c>
      <c r="BW710" s="8">
        <f>(Granger_Inventory[[#This Row],[sum_land]]-IF(Granger_Inventory[[#This Row],[no_utilities]]=1,12000,0))/IF(Granger_Inventory[[#This Row],[unbuildable]]=1,2,1)</f>
        <v>56079.150799041949</v>
      </c>
      <c r="BX710" s="8">
        <f>Granger_Inventory[[#This Row],[pre_res]]*Granger_Inventory[[#This Row],[overall_adj]]</f>
        <v>0</v>
      </c>
      <c r="BY710">
        <f>IF(ROUND(Granger_Inventory[[#This Row],[adj_land]]*Lookups!$I$45,-2)&lt;Granger_Inventory[[#This Row],[min_land]],Granger_Inventory[[#This Row],[min_land]],ROUND(Granger_Inventory[[#This Row],[adj_land]]*Lookups!$I$45,-2))</f>
        <v>53300</v>
      </c>
      <c r="BZ710">
        <f>ROUND(Granger_Inventory[[#This Row],[detatched_value]]*Lookups!$I$45,-2)</f>
        <v>0</v>
      </c>
      <c r="CA71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0">
        <f>Granger_Inventory[[#This Row],[final_det]]+Granger_Inventory[[#This Row],[final_res]]</f>
        <v>0</v>
      </c>
      <c r="CC710">
        <f>Granger_Inventory[[#This Row],[final_land]]+Granger_Inventory[[#This Row],[final_imp]]+Granger_Inventory[[#This Row],[crop_value]]</f>
        <v>53300</v>
      </c>
      <c r="CE710" t="str">
        <f t="shared" si="12"/>
        <v>update valuation set market_land =53300, market_bldg=0, market_total =53300, market_mdno =402, market_date ='9/10/2023' where link_id = (select link_id from parcel where parcel_year = '2024' and parcel_id = '21102212014');</v>
      </c>
    </row>
    <row r="711" spans="1:83" x14ac:dyDescent="0.25">
      <c r="A711">
        <v>21102213011</v>
      </c>
      <c r="B711">
        <v>9.33</v>
      </c>
      <c r="C711">
        <v>406451</v>
      </c>
      <c r="D711" t="s">
        <v>137</v>
      </c>
      <c r="E711" t="s">
        <v>54</v>
      </c>
      <c r="F711" t="s">
        <v>54</v>
      </c>
      <c r="G711">
        <v>3</v>
      </c>
      <c r="H711" t="s">
        <v>55</v>
      </c>
      <c r="I711">
        <v>28000</v>
      </c>
      <c r="J711">
        <v>49800</v>
      </c>
      <c r="K711">
        <v>9.33</v>
      </c>
      <c r="L711">
        <f>IF(Granger_Inventory[[#This Row],[parcel_acres]]-Granger_Inventory[[#This Row],[non_valued_acres]] =0,0,LN(Granger_Inventory[[#This Row],[parcel_acres]]-Granger_Inventory[[#This Row],[non_valued_acres]]))</f>
        <v>2.2332350148592526</v>
      </c>
      <c r="M711">
        <v>0</v>
      </c>
      <c r="N711">
        <v>0</v>
      </c>
      <c r="O711">
        <v>0</v>
      </c>
      <c r="P711">
        <v>47108.068500000001</v>
      </c>
      <c r="Q711">
        <v>122298</v>
      </c>
      <c r="R711">
        <f>(Granger_Inventory[[#This Row],[ln_acres]]*Granger_Inventory[[#This Row],[coeff]])+Granger_Inventory[[#This Row],[const]]</f>
        <v>227501.38805658818</v>
      </c>
      <c r="AY711">
        <v>28000</v>
      </c>
      <c r="AZ711">
        <v>0</v>
      </c>
      <c r="BE711">
        <v>0</v>
      </c>
      <c r="BF711">
        <v>15000</v>
      </c>
      <c r="BG711">
        <v>0</v>
      </c>
      <c r="BH711" s="8">
        <f>Granger_Inventory[[#This Row],[land_extract]]*Lookups!$B$3</f>
        <v>135529.58390806173</v>
      </c>
      <c r="BI711" s="8">
        <f>IF(Granger_Inventory[[#This Row],[bldg_style]]="",0,Lookups!$B$2)</f>
        <v>0</v>
      </c>
      <c r="BJ711" s="8">
        <f>_xlfn.IFNA(VLOOKUP(Granger_Inventory[[#This Row],[quality]],Lookups!$H$2:$J$14,3,FALSE),0)</f>
        <v>0</v>
      </c>
      <c r="BK711" s="8">
        <f>_xlfn.IFNA(VLOOKUP(Granger_Inventory[[#This Row],[condition]],Lookups!$H$17:$J$24,3,FALSE),0)</f>
        <v>0</v>
      </c>
      <c r="BL711" s="8">
        <f>Granger_Inventory[[#This Row],[Age]]*Lookups!$B$16</f>
        <v>0</v>
      </c>
      <c r="BM711" s="8">
        <f>Granger_Inventory[[#This Row],[living_area]]*Lookups!$B$17</f>
        <v>0</v>
      </c>
      <c r="BN711" s="8">
        <f>(Granger_Inventory[[#This Row],[att_gar]]+Granger_Inventory[[#This Row],[blt_gar]])*Lookups!$B$18</f>
        <v>0</v>
      </c>
      <c r="BO711" s="8">
        <f>Granger_Inventory[[#This Row],[Patio]]*Lookups!$B$19</f>
        <v>0</v>
      </c>
      <c r="BP711" s="8">
        <f>SUM(Granger_Inventory[[#This Row],[Intercept]:[Patio_Value]])*Granger_Inventory[[#This Row],[res_pct]]</f>
        <v>0</v>
      </c>
      <c r="BQ711" s="8">
        <f>Granger_Inventory[[#This Row],[land_value]]</f>
        <v>135529.58390806173</v>
      </c>
      <c r="BR711" s="4">
        <f>_xlfn.IFNA(VLOOKUP(Granger_Inventory[[#This Row],[quality]],Lookups!$A$25:$C$35,3,FALSE),1)</f>
        <v>1</v>
      </c>
      <c r="BS711" s="4">
        <f>_xlfn.IFNA(VLOOKUP(Granger_Inventory[[#This Row],[condition]],Lookups!$A$38:$C$45,3,FALSE),1)</f>
        <v>1</v>
      </c>
      <c r="BT711" s="4">
        <f>IF(Granger_Inventory[[#This Row],[decade]]="",1,_xlfn.IFNA(VLOOKUP(Granger_Inventory[[#This Row],[decade]],Lookups!$G$28:$I$42,3,FALSE),1))</f>
        <v>1</v>
      </c>
      <c r="BU711" s="4">
        <f>_xlfn.IFNA(VLOOKUP(Granger_Inventory[[#This Row],[living_area_range]],Lookups!$A$48:$C$57,3,FALSE),1)</f>
        <v>1</v>
      </c>
      <c r="BV711" s="4">
        <f>AVERAGE(Granger_Inventory[[#This Row],[qual_adj]:[living_range_adj]])</f>
        <v>1</v>
      </c>
      <c r="BW711" s="8">
        <f>(Granger_Inventory[[#This Row],[sum_land]]-IF(Granger_Inventory[[#This Row],[no_utilities]]=1,12000,0))/IF(Granger_Inventory[[#This Row],[unbuildable]]=1,2,1)</f>
        <v>135529.58390806173</v>
      </c>
      <c r="BX711" s="8">
        <f>Granger_Inventory[[#This Row],[pre_res]]*Granger_Inventory[[#This Row],[overall_adj]]</f>
        <v>0</v>
      </c>
      <c r="BY711">
        <f>IF(ROUND(Granger_Inventory[[#This Row],[adj_land]]*Lookups!$I$45,-2)&lt;Granger_Inventory[[#This Row],[min_land]],Granger_Inventory[[#This Row],[min_land]],ROUND(Granger_Inventory[[#This Row],[adj_land]]*Lookups!$I$45,-2))</f>
        <v>128800</v>
      </c>
      <c r="BZ711">
        <f>ROUND(Granger_Inventory[[#This Row],[detatched_value]]*Lookups!$I$45,-2)</f>
        <v>0</v>
      </c>
      <c r="CA71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1">
        <f>Granger_Inventory[[#This Row],[final_det]]+Granger_Inventory[[#This Row],[final_res]]</f>
        <v>0</v>
      </c>
      <c r="CC711">
        <f>Granger_Inventory[[#This Row],[final_land]]+Granger_Inventory[[#This Row],[final_imp]]+Granger_Inventory[[#This Row],[crop_value]]</f>
        <v>156800</v>
      </c>
      <c r="CE711" t="str">
        <f t="shared" si="12"/>
        <v>update valuation set market_land =128800, market_bldg=0, market_total =156800, market_mdno =402, market_date ='9/10/2023' where link_id = (select link_id from parcel where parcel_year = '2024' and parcel_id = '21102213011');</v>
      </c>
    </row>
    <row r="712" spans="1:83" x14ac:dyDescent="0.25">
      <c r="A712">
        <v>21102223421</v>
      </c>
      <c r="B712">
        <v>10.81</v>
      </c>
      <c r="C712" t="s">
        <v>137</v>
      </c>
      <c r="D712" t="s">
        <v>137</v>
      </c>
      <c r="E712" t="s">
        <v>54</v>
      </c>
      <c r="F712" t="s">
        <v>54</v>
      </c>
      <c r="G712">
        <v>3</v>
      </c>
      <c r="H712" t="s">
        <v>55</v>
      </c>
      <c r="I712">
        <v>0</v>
      </c>
      <c r="J712">
        <v>177200</v>
      </c>
      <c r="K712">
        <v>10.81</v>
      </c>
      <c r="L712">
        <f>IF(Granger_Inventory[[#This Row],[parcel_acres]]-Granger_Inventory[[#This Row],[non_valued_acres]] =0,0,LN(Granger_Inventory[[#This Row],[parcel_acres]]-Granger_Inventory[[#This Row],[non_valued_acres]]))</f>
        <v>2.3804716316511167</v>
      </c>
      <c r="M712">
        <v>0</v>
      </c>
      <c r="N712">
        <v>0</v>
      </c>
      <c r="O712">
        <v>0</v>
      </c>
      <c r="P712">
        <v>47108.068500000001</v>
      </c>
      <c r="Q712">
        <v>122298</v>
      </c>
      <c r="R712">
        <f>(Granger_Inventory[[#This Row],[ln_acres]]*Granger_Inventory[[#This Row],[coeff]])+Granger_Inventory[[#This Row],[const]]</f>
        <v>234437.42068612756</v>
      </c>
      <c r="AY712">
        <v>0</v>
      </c>
      <c r="AZ712">
        <v>0</v>
      </c>
      <c r="BE712">
        <v>0</v>
      </c>
      <c r="BF712">
        <v>15000</v>
      </c>
      <c r="BG712">
        <v>0</v>
      </c>
      <c r="BH712" s="8">
        <f>Granger_Inventory[[#This Row],[land_extract]]*Lookups!$B$3</f>
        <v>139661.59217528332</v>
      </c>
      <c r="BI712" s="8">
        <f>IF(Granger_Inventory[[#This Row],[bldg_style]]="",0,Lookups!$B$2)</f>
        <v>0</v>
      </c>
      <c r="BJ712" s="8">
        <f>_xlfn.IFNA(VLOOKUP(Granger_Inventory[[#This Row],[quality]],Lookups!$H$2:$J$14,3,FALSE),0)</f>
        <v>0</v>
      </c>
      <c r="BK712" s="8">
        <f>_xlfn.IFNA(VLOOKUP(Granger_Inventory[[#This Row],[condition]],Lookups!$H$17:$J$24,3,FALSE),0)</f>
        <v>0</v>
      </c>
      <c r="BL712" s="8">
        <f>Granger_Inventory[[#This Row],[Age]]*Lookups!$B$16</f>
        <v>0</v>
      </c>
      <c r="BM712" s="8">
        <f>Granger_Inventory[[#This Row],[living_area]]*Lookups!$B$17</f>
        <v>0</v>
      </c>
      <c r="BN712" s="8">
        <f>(Granger_Inventory[[#This Row],[att_gar]]+Granger_Inventory[[#This Row],[blt_gar]])*Lookups!$B$18</f>
        <v>0</v>
      </c>
      <c r="BO712" s="8">
        <f>Granger_Inventory[[#This Row],[Patio]]*Lookups!$B$19</f>
        <v>0</v>
      </c>
      <c r="BP712" s="8">
        <f>SUM(Granger_Inventory[[#This Row],[Intercept]:[Patio_Value]])*Granger_Inventory[[#This Row],[res_pct]]</f>
        <v>0</v>
      </c>
      <c r="BQ712" s="8">
        <f>Granger_Inventory[[#This Row],[land_value]]</f>
        <v>139661.59217528332</v>
      </c>
      <c r="BR712" s="4">
        <f>_xlfn.IFNA(VLOOKUP(Granger_Inventory[[#This Row],[quality]],Lookups!$A$25:$C$35,3,FALSE),1)</f>
        <v>1</v>
      </c>
      <c r="BS712" s="4">
        <f>_xlfn.IFNA(VLOOKUP(Granger_Inventory[[#This Row],[condition]],Lookups!$A$38:$C$45,3,FALSE),1)</f>
        <v>1</v>
      </c>
      <c r="BT712" s="4">
        <f>IF(Granger_Inventory[[#This Row],[decade]]="",1,_xlfn.IFNA(VLOOKUP(Granger_Inventory[[#This Row],[decade]],Lookups!$G$28:$I$42,3,FALSE),1))</f>
        <v>1</v>
      </c>
      <c r="BU712" s="4">
        <f>_xlfn.IFNA(VLOOKUP(Granger_Inventory[[#This Row],[living_area_range]],Lookups!$A$48:$C$57,3,FALSE),1)</f>
        <v>1</v>
      </c>
      <c r="BV712" s="4">
        <f>AVERAGE(Granger_Inventory[[#This Row],[qual_adj]:[living_range_adj]])</f>
        <v>1</v>
      </c>
      <c r="BW712" s="8">
        <f>(Granger_Inventory[[#This Row],[sum_land]]-IF(Granger_Inventory[[#This Row],[no_utilities]]=1,12000,0))/IF(Granger_Inventory[[#This Row],[unbuildable]]=1,2,1)</f>
        <v>139661.59217528332</v>
      </c>
      <c r="BX712" s="8">
        <f>Granger_Inventory[[#This Row],[pre_res]]*Granger_Inventory[[#This Row],[overall_adj]]</f>
        <v>0</v>
      </c>
      <c r="BY712">
        <f>IF(ROUND(Granger_Inventory[[#This Row],[adj_land]]*Lookups!$I$45,-2)&lt;Granger_Inventory[[#This Row],[min_land]],Granger_Inventory[[#This Row],[min_land]],ROUND(Granger_Inventory[[#This Row],[adj_land]]*Lookups!$I$45,-2))</f>
        <v>132700</v>
      </c>
      <c r="BZ712">
        <f>ROUND(Granger_Inventory[[#This Row],[detatched_value]]*Lookups!$I$45,-2)</f>
        <v>0</v>
      </c>
      <c r="CA71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2">
        <f>Granger_Inventory[[#This Row],[final_det]]+Granger_Inventory[[#This Row],[final_res]]</f>
        <v>0</v>
      </c>
      <c r="CC712">
        <f>Granger_Inventory[[#This Row],[final_land]]+Granger_Inventory[[#This Row],[final_imp]]+Granger_Inventory[[#This Row],[crop_value]]</f>
        <v>132700</v>
      </c>
      <c r="CE712" t="str">
        <f t="shared" si="12"/>
        <v>update valuation set market_land =132700, market_bldg=0, market_total =132700, market_mdno =402, market_date ='9/10/2023' where link_id = (select link_id from parcel where parcel_year = '2024' and parcel_id = '21102223421');</v>
      </c>
    </row>
    <row r="713" spans="1:83" x14ac:dyDescent="0.25">
      <c r="A713">
        <v>21102224005</v>
      </c>
      <c r="B713">
        <v>19.100000000000001</v>
      </c>
      <c r="C713">
        <v>832139</v>
      </c>
      <c r="D713" t="s">
        <v>137</v>
      </c>
      <c r="E713" t="s">
        <v>54</v>
      </c>
      <c r="F713" t="s">
        <v>54</v>
      </c>
      <c r="G713">
        <v>3</v>
      </c>
      <c r="H713" t="s">
        <v>55</v>
      </c>
      <c r="I713">
        <v>50600</v>
      </c>
      <c r="J713">
        <v>118400</v>
      </c>
      <c r="K713">
        <v>19.100000000000001</v>
      </c>
      <c r="L713">
        <f>IF(Granger_Inventory[[#This Row],[parcel_acres]]-Granger_Inventory[[#This Row],[non_valued_acres]] =0,0,LN(Granger_Inventory[[#This Row],[parcel_acres]]-Granger_Inventory[[#This Row],[non_valued_acres]]))</f>
        <v>2.9496883350525844</v>
      </c>
      <c r="M713">
        <v>0</v>
      </c>
      <c r="N713">
        <v>0</v>
      </c>
      <c r="O713">
        <v>0</v>
      </c>
      <c r="P713">
        <v>47108.068500000001</v>
      </c>
      <c r="Q713">
        <v>122298</v>
      </c>
      <c r="R713">
        <f>(Granger_Inventory[[#This Row],[ln_acres]]*Granger_Inventory[[#This Row],[coeff]])+Granger_Inventory[[#This Row],[const]]</f>
        <v>261252.12014130811</v>
      </c>
      <c r="AY713">
        <v>50600</v>
      </c>
      <c r="AZ713">
        <v>0</v>
      </c>
      <c r="BE713">
        <v>0</v>
      </c>
      <c r="BF713">
        <v>15000</v>
      </c>
      <c r="BG713">
        <v>0</v>
      </c>
      <c r="BH713" s="8">
        <f>Granger_Inventory[[#This Row],[land_extract]]*Lookups!$B$3</f>
        <v>155635.93453347759</v>
      </c>
      <c r="BI713" s="8">
        <f>IF(Granger_Inventory[[#This Row],[bldg_style]]="",0,Lookups!$B$2)</f>
        <v>0</v>
      </c>
      <c r="BJ713" s="8">
        <f>_xlfn.IFNA(VLOOKUP(Granger_Inventory[[#This Row],[quality]],Lookups!$H$2:$J$14,3,FALSE),0)</f>
        <v>0</v>
      </c>
      <c r="BK713" s="8">
        <f>_xlfn.IFNA(VLOOKUP(Granger_Inventory[[#This Row],[condition]],Lookups!$H$17:$J$24,3,FALSE),0)</f>
        <v>0</v>
      </c>
      <c r="BL713" s="8">
        <f>Granger_Inventory[[#This Row],[Age]]*Lookups!$B$16</f>
        <v>0</v>
      </c>
      <c r="BM713" s="8">
        <f>Granger_Inventory[[#This Row],[living_area]]*Lookups!$B$17</f>
        <v>0</v>
      </c>
      <c r="BN713" s="8">
        <f>(Granger_Inventory[[#This Row],[att_gar]]+Granger_Inventory[[#This Row],[blt_gar]])*Lookups!$B$18</f>
        <v>0</v>
      </c>
      <c r="BO713" s="8">
        <f>Granger_Inventory[[#This Row],[Patio]]*Lookups!$B$19</f>
        <v>0</v>
      </c>
      <c r="BP713" s="8">
        <f>SUM(Granger_Inventory[[#This Row],[Intercept]:[Patio_Value]])*Granger_Inventory[[#This Row],[res_pct]]</f>
        <v>0</v>
      </c>
      <c r="BQ713" s="8">
        <f>Granger_Inventory[[#This Row],[land_value]]</f>
        <v>155635.93453347759</v>
      </c>
      <c r="BR713" s="4">
        <f>_xlfn.IFNA(VLOOKUP(Granger_Inventory[[#This Row],[quality]],Lookups!$A$25:$C$35,3,FALSE),1)</f>
        <v>1</v>
      </c>
      <c r="BS713" s="4">
        <f>_xlfn.IFNA(VLOOKUP(Granger_Inventory[[#This Row],[condition]],Lookups!$A$38:$C$45,3,FALSE),1)</f>
        <v>1</v>
      </c>
      <c r="BT713" s="4">
        <f>IF(Granger_Inventory[[#This Row],[decade]]="",1,_xlfn.IFNA(VLOOKUP(Granger_Inventory[[#This Row],[decade]],Lookups!$G$28:$I$42,3,FALSE),1))</f>
        <v>1</v>
      </c>
      <c r="BU713" s="4">
        <f>_xlfn.IFNA(VLOOKUP(Granger_Inventory[[#This Row],[living_area_range]],Lookups!$A$48:$C$57,3,FALSE),1)</f>
        <v>1</v>
      </c>
      <c r="BV713" s="4">
        <f>AVERAGE(Granger_Inventory[[#This Row],[qual_adj]:[living_range_adj]])</f>
        <v>1</v>
      </c>
      <c r="BW713" s="8">
        <f>(Granger_Inventory[[#This Row],[sum_land]]-IF(Granger_Inventory[[#This Row],[no_utilities]]=1,12000,0))/IF(Granger_Inventory[[#This Row],[unbuildable]]=1,2,1)</f>
        <v>155635.93453347759</v>
      </c>
      <c r="BX713" s="8">
        <f>Granger_Inventory[[#This Row],[pre_res]]*Granger_Inventory[[#This Row],[overall_adj]]</f>
        <v>0</v>
      </c>
      <c r="BY713">
        <f>IF(ROUND(Granger_Inventory[[#This Row],[adj_land]]*Lookups!$I$45,-2)&lt;Granger_Inventory[[#This Row],[min_land]],Granger_Inventory[[#This Row],[min_land]],ROUND(Granger_Inventory[[#This Row],[adj_land]]*Lookups!$I$45,-2))</f>
        <v>147900</v>
      </c>
      <c r="BZ713">
        <f>ROUND(Granger_Inventory[[#This Row],[detatched_value]]*Lookups!$I$45,-2)</f>
        <v>0</v>
      </c>
      <c r="CA71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3">
        <f>Granger_Inventory[[#This Row],[final_det]]+Granger_Inventory[[#This Row],[final_res]]</f>
        <v>0</v>
      </c>
      <c r="CC713">
        <f>Granger_Inventory[[#This Row],[final_land]]+Granger_Inventory[[#This Row],[final_imp]]+Granger_Inventory[[#This Row],[crop_value]]</f>
        <v>198500</v>
      </c>
      <c r="CE713" t="str">
        <f t="shared" si="12"/>
        <v>update valuation set market_land =147900, market_bldg=0, market_total =198500, market_mdno =402, market_date ='9/10/2023' where link_id = (select link_id from parcel where parcel_year = '2024' and parcel_id = '21102224005');</v>
      </c>
    </row>
    <row r="714" spans="1:83" x14ac:dyDescent="0.25">
      <c r="A714">
        <v>21102224402</v>
      </c>
      <c r="B714">
        <v>0.83</v>
      </c>
      <c r="C714" t="s">
        <v>137</v>
      </c>
      <c r="D714" t="s">
        <v>137</v>
      </c>
      <c r="E714" t="s">
        <v>54</v>
      </c>
      <c r="F714" t="s">
        <v>54</v>
      </c>
      <c r="G714">
        <v>3</v>
      </c>
      <c r="H714" t="s">
        <v>55</v>
      </c>
      <c r="I714">
        <v>0</v>
      </c>
      <c r="J714">
        <v>35700</v>
      </c>
      <c r="K714">
        <v>0.83</v>
      </c>
      <c r="L714">
        <f>IF(Granger_Inventory[[#This Row],[parcel_acres]]-Granger_Inventory[[#This Row],[non_valued_acres]] =0,0,LN(Granger_Inventory[[#This Row],[parcel_acres]]-Granger_Inventory[[#This Row],[non_valued_acres]]))</f>
        <v>-0.18632957819149348</v>
      </c>
      <c r="M714">
        <v>0</v>
      </c>
      <c r="N714">
        <v>0</v>
      </c>
      <c r="O714">
        <v>0</v>
      </c>
      <c r="P714">
        <v>47108.068500000001</v>
      </c>
      <c r="Q714">
        <v>122298</v>
      </c>
      <c r="R714">
        <f>(Granger_Inventory[[#This Row],[ln_acres]]*Granger_Inventory[[#This Row],[coeff]])+Granger_Inventory[[#This Row],[const]]</f>
        <v>113520.37346697901</v>
      </c>
      <c r="AY714">
        <v>0</v>
      </c>
      <c r="AZ714">
        <v>0</v>
      </c>
      <c r="BE714">
        <v>0</v>
      </c>
      <c r="BF714">
        <v>15000</v>
      </c>
      <c r="BG714">
        <v>0</v>
      </c>
      <c r="BH714" s="8">
        <f>Granger_Inventory[[#This Row],[land_extract]]*Lookups!$B$3</f>
        <v>67627.582901782182</v>
      </c>
      <c r="BI714" s="8">
        <f>IF(Granger_Inventory[[#This Row],[bldg_style]]="",0,Lookups!$B$2)</f>
        <v>0</v>
      </c>
      <c r="BJ714" s="8">
        <f>_xlfn.IFNA(VLOOKUP(Granger_Inventory[[#This Row],[quality]],Lookups!$H$2:$J$14,3,FALSE),0)</f>
        <v>0</v>
      </c>
      <c r="BK714" s="8">
        <f>_xlfn.IFNA(VLOOKUP(Granger_Inventory[[#This Row],[condition]],Lookups!$H$17:$J$24,3,FALSE),0)</f>
        <v>0</v>
      </c>
      <c r="BL714" s="8">
        <f>Granger_Inventory[[#This Row],[Age]]*Lookups!$B$16</f>
        <v>0</v>
      </c>
      <c r="BM714" s="8">
        <f>Granger_Inventory[[#This Row],[living_area]]*Lookups!$B$17</f>
        <v>0</v>
      </c>
      <c r="BN714" s="8">
        <f>(Granger_Inventory[[#This Row],[att_gar]]+Granger_Inventory[[#This Row],[blt_gar]])*Lookups!$B$18</f>
        <v>0</v>
      </c>
      <c r="BO714" s="8">
        <f>Granger_Inventory[[#This Row],[Patio]]*Lookups!$B$19</f>
        <v>0</v>
      </c>
      <c r="BP714" s="8">
        <f>SUM(Granger_Inventory[[#This Row],[Intercept]:[Patio_Value]])*Granger_Inventory[[#This Row],[res_pct]]</f>
        <v>0</v>
      </c>
      <c r="BQ714" s="8">
        <f>Granger_Inventory[[#This Row],[land_value]]</f>
        <v>67627.582901782182</v>
      </c>
      <c r="BR714" s="4">
        <f>_xlfn.IFNA(VLOOKUP(Granger_Inventory[[#This Row],[quality]],Lookups!$A$25:$C$35,3,FALSE),1)</f>
        <v>1</v>
      </c>
      <c r="BS714" s="4">
        <f>_xlfn.IFNA(VLOOKUP(Granger_Inventory[[#This Row],[condition]],Lookups!$A$38:$C$45,3,FALSE),1)</f>
        <v>1</v>
      </c>
      <c r="BT714" s="4">
        <f>IF(Granger_Inventory[[#This Row],[decade]]="",1,_xlfn.IFNA(VLOOKUP(Granger_Inventory[[#This Row],[decade]],Lookups!$G$28:$I$42,3,FALSE),1))</f>
        <v>1</v>
      </c>
      <c r="BU714" s="4">
        <f>_xlfn.IFNA(VLOOKUP(Granger_Inventory[[#This Row],[living_area_range]],Lookups!$A$48:$C$57,3,FALSE),1)</f>
        <v>1</v>
      </c>
      <c r="BV714" s="4">
        <f>AVERAGE(Granger_Inventory[[#This Row],[qual_adj]:[living_range_adj]])</f>
        <v>1</v>
      </c>
      <c r="BW714" s="8">
        <f>(Granger_Inventory[[#This Row],[sum_land]]-IF(Granger_Inventory[[#This Row],[no_utilities]]=1,12000,0))/IF(Granger_Inventory[[#This Row],[unbuildable]]=1,2,1)</f>
        <v>67627.582901782182</v>
      </c>
      <c r="BX714" s="8">
        <f>Granger_Inventory[[#This Row],[pre_res]]*Granger_Inventory[[#This Row],[overall_adj]]</f>
        <v>0</v>
      </c>
      <c r="BY714">
        <f>IF(ROUND(Granger_Inventory[[#This Row],[adj_land]]*Lookups!$I$45,-2)&lt;Granger_Inventory[[#This Row],[min_land]],Granger_Inventory[[#This Row],[min_land]],ROUND(Granger_Inventory[[#This Row],[adj_land]]*Lookups!$I$45,-2))</f>
        <v>64200</v>
      </c>
      <c r="BZ714">
        <f>ROUND(Granger_Inventory[[#This Row],[detatched_value]]*Lookups!$I$45,-2)</f>
        <v>0</v>
      </c>
      <c r="CA71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4">
        <f>Granger_Inventory[[#This Row],[final_det]]+Granger_Inventory[[#This Row],[final_res]]</f>
        <v>0</v>
      </c>
      <c r="CC714">
        <f>Granger_Inventory[[#This Row],[final_land]]+Granger_Inventory[[#This Row],[final_imp]]+Granger_Inventory[[#This Row],[crop_value]]</f>
        <v>64200</v>
      </c>
      <c r="CE714" t="str">
        <f t="shared" si="12"/>
        <v>update valuation set market_land =64200, market_bldg=0, market_total =64200, market_mdno =402, market_date ='9/10/2023' where link_id = (select link_id from parcel where parcel_year = '2024' and parcel_id = '21102224402');</v>
      </c>
    </row>
    <row r="715" spans="1:83" x14ac:dyDescent="0.25">
      <c r="A715">
        <v>21102231006</v>
      </c>
      <c r="B715">
        <v>0.37</v>
      </c>
      <c r="C715">
        <v>16041</v>
      </c>
      <c r="D715" t="s">
        <v>137</v>
      </c>
      <c r="E715" t="s">
        <v>54</v>
      </c>
      <c r="F715" t="s">
        <v>54</v>
      </c>
      <c r="G715">
        <v>3</v>
      </c>
      <c r="H715" t="s">
        <v>55</v>
      </c>
      <c r="I715">
        <v>0</v>
      </c>
      <c r="J715">
        <v>2000</v>
      </c>
      <c r="K715">
        <v>0.37</v>
      </c>
      <c r="L715">
        <f>IF(Granger_Inventory[[#This Row],[parcel_acres]]-Granger_Inventory[[#This Row],[non_valued_acres]] =0,0,LN(Granger_Inventory[[#This Row],[parcel_acres]]-Granger_Inventory[[#This Row],[non_valued_acres]]))</f>
        <v>-0.9942522733438669</v>
      </c>
      <c r="M715">
        <v>0</v>
      </c>
      <c r="N715">
        <v>0</v>
      </c>
      <c r="O715">
        <v>0</v>
      </c>
      <c r="P715">
        <v>47108.068500000001</v>
      </c>
      <c r="Q715">
        <v>122298</v>
      </c>
      <c r="R715">
        <f>(Granger_Inventory[[#This Row],[ln_acres]]*Granger_Inventory[[#This Row],[coeff]])+Granger_Inventory[[#This Row],[const]]</f>
        <v>75460.695801036403</v>
      </c>
      <c r="AY715">
        <v>0</v>
      </c>
      <c r="AZ715">
        <v>0</v>
      </c>
      <c r="BE715">
        <v>0</v>
      </c>
      <c r="BF715">
        <v>15000</v>
      </c>
      <c r="BG715">
        <v>0</v>
      </c>
      <c r="BH715" s="8">
        <f>Granger_Inventory[[#This Row],[land_extract]]*Lookups!$B$3</f>
        <v>44954.260678108061</v>
      </c>
      <c r="BI715" s="8">
        <f>IF(Granger_Inventory[[#This Row],[bldg_style]]="",0,Lookups!$B$2)</f>
        <v>0</v>
      </c>
      <c r="BJ715" s="8">
        <f>_xlfn.IFNA(VLOOKUP(Granger_Inventory[[#This Row],[quality]],Lookups!$H$2:$J$14,3,FALSE),0)</f>
        <v>0</v>
      </c>
      <c r="BK715" s="8">
        <f>_xlfn.IFNA(VLOOKUP(Granger_Inventory[[#This Row],[condition]],Lookups!$H$17:$J$24,3,FALSE),0)</f>
        <v>0</v>
      </c>
      <c r="BL715" s="8">
        <f>Granger_Inventory[[#This Row],[Age]]*Lookups!$B$16</f>
        <v>0</v>
      </c>
      <c r="BM715" s="8">
        <f>Granger_Inventory[[#This Row],[living_area]]*Lookups!$B$17</f>
        <v>0</v>
      </c>
      <c r="BN715" s="8">
        <f>(Granger_Inventory[[#This Row],[att_gar]]+Granger_Inventory[[#This Row],[blt_gar]])*Lookups!$B$18</f>
        <v>0</v>
      </c>
      <c r="BO715" s="8">
        <f>Granger_Inventory[[#This Row],[Patio]]*Lookups!$B$19</f>
        <v>0</v>
      </c>
      <c r="BP715" s="8">
        <f>SUM(Granger_Inventory[[#This Row],[Intercept]:[Patio_Value]])*Granger_Inventory[[#This Row],[res_pct]]</f>
        <v>0</v>
      </c>
      <c r="BQ715" s="8">
        <f>Granger_Inventory[[#This Row],[land_value]]</f>
        <v>44954.260678108061</v>
      </c>
      <c r="BR715" s="4">
        <f>_xlfn.IFNA(VLOOKUP(Granger_Inventory[[#This Row],[quality]],Lookups!$A$25:$C$35,3,FALSE),1)</f>
        <v>1</v>
      </c>
      <c r="BS715" s="4">
        <f>_xlfn.IFNA(VLOOKUP(Granger_Inventory[[#This Row],[condition]],Lookups!$A$38:$C$45,3,FALSE),1)</f>
        <v>1</v>
      </c>
      <c r="BT715" s="4">
        <f>IF(Granger_Inventory[[#This Row],[decade]]="",1,_xlfn.IFNA(VLOOKUP(Granger_Inventory[[#This Row],[decade]],Lookups!$G$28:$I$42,3,FALSE),1))</f>
        <v>1</v>
      </c>
      <c r="BU715" s="4">
        <f>_xlfn.IFNA(VLOOKUP(Granger_Inventory[[#This Row],[living_area_range]],Lookups!$A$48:$C$57,3,FALSE),1)</f>
        <v>1</v>
      </c>
      <c r="BV715" s="4">
        <f>AVERAGE(Granger_Inventory[[#This Row],[qual_adj]:[living_range_adj]])</f>
        <v>1</v>
      </c>
      <c r="BW715" s="8">
        <f>(Granger_Inventory[[#This Row],[sum_land]]-IF(Granger_Inventory[[#This Row],[no_utilities]]=1,12000,0))/IF(Granger_Inventory[[#This Row],[unbuildable]]=1,2,1)</f>
        <v>44954.260678108061</v>
      </c>
      <c r="BX715" s="8">
        <f>Granger_Inventory[[#This Row],[pre_res]]*Granger_Inventory[[#This Row],[overall_adj]]</f>
        <v>0</v>
      </c>
      <c r="BY715">
        <f>IF(ROUND(Granger_Inventory[[#This Row],[adj_land]]*Lookups!$I$45,-2)&lt;Granger_Inventory[[#This Row],[min_land]],Granger_Inventory[[#This Row],[min_land]],ROUND(Granger_Inventory[[#This Row],[adj_land]]*Lookups!$I$45,-2))</f>
        <v>42700</v>
      </c>
      <c r="BZ715">
        <f>ROUND(Granger_Inventory[[#This Row],[detatched_value]]*Lookups!$I$45,-2)</f>
        <v>0</v>
      </c>
      <c r="CA71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5">
        <f>Granger_Inventory[[#This Row],[final_det]]+Granger_Inventory[[#This Row],[final_res]]</f>
        <v>0</v>
      </c>
      <c r="CC715">
        <f>Granger_Inventory[[#This Row],[final_land]]+Granger_Inventory[[#This Row],[final_imp]]+Granger_Inventory[[#This Row],[crop_value]]</f>
        <v>42700</v>
      </c>
      <c r="CE715" t="str">
        <f t="shared" si="12"/>
        <v>update valuation set market_land =42700, market_bldg=0, market_total =42700, market_mdno =402, market_date ='9/10/2023' where link_id = (select link_id from parcel where parcel_year = '2024' and parcel_id = '21102231006');</v>
      </c>
    </row>
    <row r="716" spans="1:83" x14ac:dyDescent="0.25">
      <c r="A716">
        <v>21102231418</v>
      </c>
      <c r="B716">
        <v>0.18</v>
      </c>
      <c r="C716">
        <v>8000</v>
      </c>
      <c r="D716" t="s">
        <v>137</v>
      </c>
      <c r="E716" t="s">
        <v>54</v>
      </c>
      <c r="F716" t="s">
        <v>54</v>
      </c>
      <c r="G716">
        <v>3</v>
      </c>
      <c r="H716" t="s">
        <v>55</v>
      </c>
      <c r="I716">
        <v>0</v>
      </c>
      <c r="J716">
        <v>26800</v>
      </c>
      <c r="K716">
        <v>0.18</v>
      </c>
      <c r="L716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716">
        <v>0</v>
      </c>
      <c r="N716">
        <v>0</v>
      </c>
      <c r="O716">
        <v>0</v>
      </c>
      <c r="P716">
        <v>47108.068500000001</v>
      </c>
      <c r="Q716">
        <v>122298</v>
      </c>
      <c r="R716">
        <f>(Granger_Inventory[[#This Row],[ln_acres]]*Granger_Inventory[[#This Row],[coeff]])+Granger_Inventory[[#This Row],[const]]</f>
        <v>41517.1581857532</v>
      </c>
      <c r="AY716">
        <v>0</v>
      </c>
      <c r="AZ716">
        <v>0</v>
      </c>
      <c r="BE716">
        <v>0</v>
      </c>
      <c r="BF716">
        <v>15000</v>
      </c>
      <c r="BG716">
        <v>0</v>
      </c>
      <c r="BH716" s="8">
        <f>Granger_Inventory[[#This Row],[land_extract]]*Lookups!$B$3</f>
        <v>24733.049859725303</v>
      </c>
      <c r="BI716" s="8">
        <f>IF(Granger_Inventory[[#This Row],[bldg_style]]="",0,Lookups!$B$2)</f>
        <v>0</v>
      </c>
      <c r="BJ716" s="8">
        <f>_xlfn.IFNA(VLOOKUP(Granger_Inventory[[#This Row],[quality]],Lookups!$H$2:$J$14,3,FALSE),0)</f>
        <v>0</v>
      </c>
      <c r="BK716" s="8">
        <f>_xlfn.IFNA(VLOOKUP(Granger_Inventory[[#This Row],[condition]],Lookups!$H$17:$J$24,3,FALSE),0)</f>
        <v>0</v>
      </c>
      <c r="BL716" s="8">
        <f>Granger_Inventory[[#This Row],[Age]]*Lookups!$B$16</f>
        <v>0</v>
      </c>
      <c r="BM716" s="8">
        <f>Granger_Inventory[[#This Row],[living_area]]*Lookups!$B$17</f>
        <v>0</v>
      </c>
      <c r="BN716" s="8">
        <f>(Granger_Inventory[[#This Row],[att_gar]]+Granger_Inventory[[#This Row],[blt_gar]])*Lookups!$B$18</f>
        <v>0</v>
      </c>
      <c r="BO716" s="8">
        <f>Granger_Inventory[[#This Row],[Patio]]*Lookups!$B$19</f>
        <v>0</v>
      </c>
      <c r="BP716" s="8">
        <f>SUM(Granger_Inventory[[#This Row],[Intercept]:[Patio_Value]])*Granger_Inventory[[#This Row],[res_pct]]</f>
        <v>0</v>
      </c>
      <c r="BQ716" s="8">
        <f>Granger_Inventory[[#This Row],[land_value]]</f>
        <v>24733.049859725303</v>
      </c>
      <c r="BR716" s="4">
        <f>_xlfn.IFNA(VLOOKUP(Granger_Inventory[[#This Row],[quality]],Lookups!$A$25:$C$35,3,FALSE),1)</f>
        <v>1</v>
      </c>
      <c r="BS716" s="4">
        <f>_xlfn.IFNA(VLOOKUP(Granger_Inventory[[#This Row],[condition]],Lookups!$A$38:$C$45,3,FALSE),1)</f>
        <v>1</v>
      </c>
      <c r="BT716" s="4">
        <f>IF(Granger_Inventory[[#This Row],[decade]]="",1,_xlfn.IFNA(VLOOKUP(Granger_Inventory[[#This Row],[decade]],Lookups!$G$28:$I$42,3,FALSE),1))</f>
        <v>1</v>
      </c>
      <c r="BU716" s="4">
        <f>_xlfn.IFNA(VLOOKUP(Granger_Inventory[[#This Row],[living_area_range]],Lookups!$A$48:$C$57,3,FALSE),1)</f>
        <v>1</v>
      </c>
      <c r="BV716" s="4">
        <f>AVERAGE(Granger_Inventory[[#This Row],[qual_adj]:[living_range_adj]])</f>
        <v>1</v>
      </c>
      <c r="BW716" s="8">
        <f>(Granger_Inventory[[#This Row],[sum_land]]-IF(Granger_Inventory[[#This Row],[no_utilities]]=1,12000,0))/IF(Granger_Inventory[[#This Row],[unbuildable]]=1,2,1)</f>
        <v>24733.049859725303</v>
      </c>
      <c r="BX716" s="8">
        <f>Granger_Inventory[[#This Row],[pre_res]]*Granger_Inventory[[#This Row],[overall_adj]]</f>
        <v>0</v>
      </c>
      <c r="BY716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716">
        <f>ROUND(Granger_Inventory[[#This Row],[detatched_value]]*Lookups!$I$45,-2)</f>
        <v>0</v>
      </c>
      <c r="CA71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6">
        <f>Granger_Inventory[[#This Row],[final_det]]+Granger_Inventory[[#This Row],[final_res]]</f>
        <v>0</v>
      </c>
      <c r="CC716">
        <f>Granger_Inventory[[#This Row],[final_land]]+Granger_Inventory[[#This Row],[final_imp]]+Granger_Inventory[[#This Row],[crop_value]]</f>
        <v>23500</v>
      </c>
      <c r="CE716" t="str">
        <f t="shared" si="12"/>
        <v>update valuation set market_land =23500, market_bldg=0, market_total =23500, market_mdno =402, market_date ='9/10/2023' where link_id = (select link_id from parcel where parcel_year = '2024' and parcel_id = '21102231418');</v>
      </c>
    </row>
    <row r="717" spans="1:83" x14ac:dyDescent="0.25">
      <c r="A717">
        <v>21102231425</v>
      </c>
      <c r="B717">
        <v>0.18</v>
      </c>
      <c r="C717">
        <v>7846</v>
      </c>
      <c r="D717" t="s">
        <v>137</v>
      </c>
      <c r="E717" t="s">
        <v>54</v>
      </c>
      <c r="F717" t="s">
        <v>54</v>
      </c>
      <c r="G717">
        <v>3</v>
      </c>
      <c r="H717" t="s">
        <v>55</v>
      </c>
      <c r="I717">
        <v>0</v>
      </c>
      <c r="J717">
        <v>26800</v>
      </c>
      <c r="K717">
        <v>0.18</v>
      </c>
      <c r="L717">
        <f>IF(Granger_Inventory[[#This Row],[parcel_acres]]-Granger_Inventory[[#This Row],[non_valued_acres]] =0,0,LN(Granger_Inventory[[#This Row],[parcel_acres]]-Granger_Inventory[[#This Row],[non_valued_acres]]))</f>
        <v>-1.7147984280919266</v>
      </c>
      <c r="M717">
        <v>0</v>
      </c>
      <c r="N717">
        <v>0</v>
      </c>
      <c r="O717">
        <v>0</v>
      </c>
      <c r="P717">
        <v>47108.068500000001</v>
      </c>
      <c r="Q717">
        <v>122298</v>
      </c>
      <c r="R717">
        <f>(Granger_Inventory[[#This Row],[ln_acres]]*Granger_Inventory[[#This Row],[coeff]])+Granger_Inventory[[#This Row],[const]]</f>
        <v>41517.1581857532</v>
      </c>
      <c r="AY717">
        <v>0</v>
      </c>
      <c r="AZ717">
        <v>0</v>
      </c>
      <c r="BE717">
        <v>0</v>
      </c>
      <c r="BF717">
        <v>15000</v>
      </c>
      <c r="BG717">
        <v>0</v>
      </c>
      <c r="BH717" s="8">
        <f>Granger_Inventory[[#This Row],[land_extract]]*Lookups!$B$3</f>
        <v>24733.049859725303</v>
      </c>
      <c r="BI717" s="8">
        <f>IF(Granger_Inventory[[#This Row],[bldg_style]]="",0,Lookups!$B$2)</f>
        <v>0</v>
      </c>
      <c r="BJ717" s="8">
        <f>_xlfn.IFNA(VLOOKUP(Granger_Inventory[[#This Row],[quality]],Lookups!$H$2:$J$14,3,FALSE),0)</f>
        <v>0</v>
      </c>
      <c r="BK717" s="8">
        <f>_xlfn.IFNA(VLOOKUP(Granger_Inventory[[#This Row],[condition]],Lookups!$H$17:$J$24,3,FALSE),0)</f>
        <v>0</v>
      </c>
      <c r="BL717" s="8">
        <f>Granger_Inventory[[#This Row],[Age]]*Lookups!$B$16</f>
        <v>0</v>
      </c>
      <c r="BM717" s="8">
        <f>Granger_Inventory[[#This Row],[living_area]]*Lookups!$B$17</f>
        <v>0</v>
      </c>
      <c r="BN717" s="8">
        <f>(Granger_Inventory[[#This Row],[att_gar]]+Granger_Inventory[[#This Row],[blt_gar]])*Lookups!$B$18</f>
        <v>0</v>
      </c>
      <c r="BO717" s="8">
        <f>Granger_Inventory[[#This Row],[Patio]]*Lookups!$B$19</f>
        <v>0</v>
      </c>
      <c r="BP717" s="8">
        <f>SUM(Granger_Inventory[[#This Row],[Intercept]:[Patio_Value]])*Granger_Inventory[[#This Row],[res_pct]]</f>
        <v>0</v>
      </c>
      <c r="BQ717" s="8">
        <f>Granger_Inventory[[#This Row],[land_value]]</f>
        <v>24733.049859725303</v>
      </c>
      <c r="BR717" s="4">
        <f>_xlfn.IFNA(VLOOKUP(Granger_Inventory[[#This Row],[quality]],Lookups!$A$25:$C$35,3,FALSE),1)</f>
        <v>1</v>
      </c>
      <c r="BS717" s="4">
        <f>_xlfn.IFNA(VLOOKUP(Granger_Inventory[[#This Row],[condition]],Lookups!$A$38:$C$45,3,FALSE),1)</f>
        <v>1</v>
      </c>
      <c r="BT717" s="4">
        <f>IF(Granger_Inventory[[#This Row],[decade]]="",1,_xlfn.IFNA(VLOOKUP(Granger_Inventory[[#This Row],[decade]],Lookups!$G$28:$I$42,3,FALSE),1))</f>
        <v>1</v>
      </c>
      <c r="BU717" s="4">
        <f>_xlfn.IFNA(VLOOKUP(Granger_Inventory[[#This Row],[living_area_range]],Lookups!$A$48:$C$57,3,FALSE),1)</f>
        <v>1</v>
      </c>
      <c r="BV717" s="4">
        <f>AVERAGE(Granger_Inventory[[#This Row],[qual_adj]:[living_range_adj]])</f>
        <v>1</v>
      </c>
      <c r="BW717" s="8">
        <f>(Granger_Inventory[[#This Row],[sum_land]]-IF(Granger_Inventory[[#This Row],[no_utilities]]=1,12000,0))/IF(Granger_Inventory[[#This Row],[unbuildable]]=1,2,1)</f>
        <v>24733.049859725303</v>
      </c>
      <c r="BX717" s="8">
        <f>Granger_Inventory[[#This Row],[pre_res]]*Granger_Inventory[[#This Row],[overall_adj]]</f>
        <v>0</v>
      </c>
      <c r="BY717">
        <f>IF(ROUND(Granger_Inventory[[#This Row],[adj_land]]*Lookups!$I$45,-2)&lt;Granger_Inventory[[#This Row],[min_land]],Granger_Inventory[[#This Row],[min_land]],ROUND(Granger_Inventory[[#This Row],[adj_land]]*Lookups!$I$45,-2))</f>
        <v>23500</v>
      </c>
      <c r="BZ717">
        <f>ROUND(Granger_Inventory[[#This Row],[detatched_value]]*Lookups!$I$45,-2)</f>
        <v>0</v>
      </c>
      <c r="CA71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7">
        <f>Granger_Inventory[[#This Row],[final_det]]+Granger_Inventory[[#This Row],[final_res]]</f>
        <v>0</v>
      </c>
      <c r="CC717">
        <f>Granger_Inventory[[#This Row],[final_land]]+Granger_Inventory[[#This Row],[final_imp]]+Granger_Inventory[[#This Row],[crop_value]]</f>
        <v>23500</v>
      </c>
      <c r="CE717" t="str">
        <f t="shared" si="12"/>
        <v>update valuation set market_land =23500, market_bldg=0, market_total =23500, market_mdno =402, market_date ='9/10/2023' where link_id = (select link_id from parcel where parcel_year = '2024' and parcel_id = '21102231425');</v>
      </c>
    </row>
    <row r="718" spans="1:83" x14ac:dyDescent="0.25">
      <c r="A718">
        <v>21102231429</v>
      </c>
      <c r="B718">
        <v>0.26</v>
      </c>
      <c r="C718">
        <v>11458</v>
      </c>
      <c r="D718" t="s">
        <v>137</v>
      </c>
      <c r="E718" t="s">
        <v>54</v>
      </c>
      <c r="F718" t="s">
        <v>54</v>
      </c>
      <c r="G718">
        <v>3</v>
      </c>
      <c r="H718" t="s">
        <v>55</v>
      </c>
      <c r="I718">
        <v>0</v>
      </c>
      <c r="J718">
        <v>29000</v>
      </c>
      <c r="K718">
        <v>0.26</v>
      </c>
      <c r="L718">
        <f>IF(Granger_Inventory[[#This Row],[parcel_acres]]-Granger_Inventory[[#This Row],[non_valued_acres]] =0,0,LN(Granger_Inventory[[#This Row],[parcel_acres]]-Granger_Inventory[[#This Row],[non_valued_acres]]))</f>
        <v>-1.3470736479666092</v>
      </c>
      <c r="M718">
        <v>0</v>
      </c>
      <c r="N718">
        <v>0</v>
      </c>
      <c r="O718">
        <v>0</v>
      </c>
      <c r="P718">
        <v>47108.068500000001</v>
      </c>
      <c r="Q718">
        <v>122298</v>
      </c>
      <c r="R718">
        <f>(Granger_Inventory[[#This Row],[ln_acres]]*Granger_Inventory[[#This Row],[coeff]])+Granger_Inventory[[#This Row],[const]]</f>
        <v>58839.962317044083</v>
      </c>
      <c r="AY718">
        <v>0</v>
      </c>
      <c r="AZ718">
        <v>0</v>
      </c>
      <c r="BE718">
        <v>0</v>
      </c>
      <c r="BF718">
        <v>15000</v>
      </c>
      <c r="BG718">
        <v>0</v>
      </c>
      <c r="BH718" s="8">
        <f>Granger_Inventory[[#This Row],[land_extract]]*Lookups!$B$3</f>
        <v>35052.777823102522</v>
      </c>
      <c r="BI718" s="8">
        <f>IF(Granger_Inventory[[#This Row],[bldg_style]]="",0,Lookups!$B$2)</f>
        <v>0</v>
      </c>
      <c r="BJ718" s="8">
        <f>_xlfn.IFNA(VLOOKUP(Granger_Inventory[[#This Row],[quality]],Lookups!$H$2:$J$14,3,FALSE),0)</f>
        <v>0</v>
      </c>
      <c r="BK718" s="8">
        <f>_xlfn.IFNA(VLOOKUP(Granger_Inventory[[#This Row],[condition]],Lookups!$H$17:$J$24,3,FALSE),0)</f>
        <v>0</v>
      </c>
      <c r="BL718" s="8">
        <f>Granger_Inventory[[#This Row],[Age]]*Lookups!$B$16</f>
        <v>0</v>
      </c>
      <c r="BM718" s="8">
        <f>Granger_Inventory[[#This Row],[living_area]]*Lookups!$B$17</f>
        <v>0</v>
      </c>
      <c r="BN718" s="8">
        <f>(Granger_Inventory[[#This Row],[att_gar]]+Granger_Inventory[[#This Row],[blt_gar]])*Lookups!$B$18</f>
        <v>0</v>
      </c>
      <c r="BO718" s="8">
        <f>Granger_Inventory[[#This Row],[Patio]]*Lookups!$B$19</f>
        <v>0</v>
      </c>
      <c r="BP718" s="8">
        <f>SUM(Granger_Inventory[[#This Row],[Intercept]:[Patio_Value]])*Granger_Inventory[[#This Row],[res_pct]]</f>
        <v>0</v>
      </c>
      <c r="BQ718" s="8">
        <f>Granger_Inventory[[#This Row],[land_value]]</f>
        <v>35052.777823102522</v>
      </c>
      <c r="BR718" s="4">
        <f>_xlfn.IFNA(VLOOKUP(Granger_Inventory[[#This Row],[quality]],Lookups!$A$25:$C$35,3,FALSE),1)</f>
        <v>1</v>
      </c>
      <c r="BS718" s="4">
        <f>_xlfn.IFNA(VLOOKUP(Granger_Inventory[[#This Row],[condition]],Lookups!$A$38:$C$45,3,FALSE),1)</f>
        <v>1</v>
      </c>
      <c r="BT718" s="4">
        <f>IF(Granger_Inventory[[#This Row],[decade]]="",1,_xlfn.IFNA(VLOOKUP(Granger_Inventory[[#This Row],[decade]],Lookups!$G$28:$I$42,3,FALSE),1))</f>
        <v>1</v>
      </c>
      <c r="BU718" s="4">
        <f>_xlfn.IFNA(VLOOKUP(Granger_Inventory[[#This Row],[living_area_range]],Lookups!$A$48:$C$57,3,FALSE),1)</f>
        <v>1</v>
      </c>
      <c r="BV718" s="4">
        <f>AVERAGE(Granger_Inventory[[#This Row],[qual_adj]:[living_range_adj]])</f>
        <v>1</v>
      </c>
      <c r="BW718" s="8">
        <f>(Granger_Inventory[[#This Row],[sum_land]]-IF(Granger_Inventory[[#This Row],[no_utilities]]=1,12000,0))/IF(Granger_Inventory[[#This Row],[unbuildable]]=1,2,1)</f>
        <v>35052.777823102522</v>
      </c>
      <c r="BX718" s="8">
        <f>Granger_Inventory[[#This Row],[pre_res]]*Granger_Inventory[[#This Row],[overall_adj]]</f>
        <v>0</v>
      </c>
      <c r="BY718">
        <f>IF(ROUND(Granger_Inventory[[#This Row],[adj_land]]*Lookups!$I$45,-2)&lt;Granger_Inventory[[#This Row],[min_land]],Granger_Inventory[[#This Row],[min_land]],ROUND(Granger_Inventory[[#This Row],[adj_land]]*Lookups!$I$45,-2))</f>
        <v>33300</v>
      </c>
      <c r="BZ718">
        <f>ROUND(Granger_Inventory[[#This Row],[detatched_value]]*Lookups!$I$45,-2)</f>
        <v>0</v>
      </c>
      <c r="CA71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8">
        <f>Granger_Inventory[[#This Row],[final_det]]+Granger_Inventory[[#This Row],[final_res]]</f>
        <v>0</v>
      </c>
      <c r="CC718">
        <f>Granger_Inventory[[#This Row],[final_land]]+Granger_Inventory[[#This Row],[final_imp]]+Granger_Inventory[[#This Row],[crop_value]]</f>
        <v>33300</v>
      </c>
      <c r="CE718" t="str">
        <f t="shared" si="12"/>
        <v>update valuation set market_land =33300, market_bldg=0, market_total =33300, market_mdno =402, market_date ='9/10/2023' where link_id = (select link_id from parcel where parcel_year = '2024' and parcel_id = '21102231429');</v>
      </c>
    </row>
    <row r="719" spans="1:83" x14ac:dyDescent="0.25">
      <c r="A719">
        <v>21102231430</v>
      </c>
      <c r="B719">
        <v>0.21</v>
      </c>
      <c r="C719">
        <v>9289</v>
      </c>
      <c r="D719" t="s">
        <v>137</v>
      </c>
      <c r="E719" t="s">
        <v>54</v>
      </c>
      <c r="F719" t="s">
        <v>54</v>
      </c>
      <c r="G719">
        <v>3</v>
      </c>
      <c r="H719" t="s">
        <v>55</v>
      </c>
      <c r="I719">
        <v>0</v>
      </c>
      <c r="J719">
        <v>27700</v>
      </c>
      <c r="K719">
        <v>0.21</v>
      </c>
      <c r="L719">
        <f>IF(Granger_Inventory[[#This Row],[parcel_acres]]-Granger_Inventory[[#This Row],[non_valued_acres]] =0,0,LN(Granger_Inventory[[#This Row],[parcel_acres]]-Granger_Inventory[[#This Row],[non_valued_acres]]))</f>
        <v>-1.5606477482646683</v>
      </c>
      <c r="M719">
        <v>0</v>
      </c>
      <c r="N719">
        <v>0</v>
      </c>
      <c r="O719">
        <v>0</v>
      </c>
      <c r="P719">
        <v>47108.068500000001</v>
      </c>
      <c r="Q719">
        <v>122298</v>
      </c>
      <c r="R719">
        <f>(Granger_Inventory[[#This Row],[ln_acres]]*Granger_Inventory[[#This Row],[coeff]])+Granger_Inventory[[#This Row],[const]]</f>
        <v>48778.898970377239</v>
      </c>
      <c r="AY719">
        <v>0</v>
      </c>
      <c r="AZ719">
        <v>0</v>
      </c>
      <c r="BE719">
        <v>0</v>
      </c>
      <c r="BF719">
        <v>15000</v>
      </c>
      <c r="BG719">
        <v>0</v>
      </c>
      <c r="BH719" s="8">
        <f>Granger_Inventory[[#This Row],[land_extract]]*Lookups!$B$3</f>
        <v>29059.09250674201</v>
      </c>
      <c r="BI719" s="8">
        <f>IF(Granger_Inventory[[#This Row],[bldg_style]]="",0,Lookups!$B$2)</f>
        <v>0</v>
      </c>
      <c r="BJ719" s="8">
        <f>_xlfn.IFNA(VLOOKUP(Granger_Inventory[[#This Row],[quality]],Lookups!$H$2:$J$14,3,FALSE),0)</f>
        <v>0</v>
      </c>
      <c r="BK719" s="8">
        <f>_xlfn.IFNA(VLOOKUP(Granger_Inventory[[#This Row],[condition]],Lookups!$H$17:$J$24,3,FALSE),0)</f>
        <v>0</v>
      </c>
      <c r="BL719" s="8">
        <f>Granger_Inventory[[#This Row],[Age]]*Lookups!$B$16</f>
        <v>0</v>
      </c>
      <c r="BM719" s="8">
        <f>Granger_Inventory[[#This Row],[living_area]]*Lookups!$B$17</f>
        <v>0</v>
      </c>
      <c r="BN719" s="8">
        <f>(Granger_Inventory[[#This Row],[att_gar]]+Granger_Inventory[[#This Row],[blt_gar]])*Lookups!$B$18</f>
        <v>0</v>
      </c>
      <c r="BO719" s="8">
        <f>Granger_Inventory[[#This Row],[Patio]]*Lookups!$B$19</f>
        <v>0</v>
      </c>
      <c r="BP719" s="8">
        <f>SUM(Granger_Inventory[[#This Row],[Intercept]:[Patio_Value]])*Granger_Inventory[[#This Row],[res_pct]]</f>
        <v>0</v>
      </c>
      <c r="BQ719" s="8">
        <f>Granger_Inventory[[#This Row],[land_value]]</f>
        <v>29059.09250674201</v>
      </c>
      <c r="BR719" s="4">
        <f>_xlfn.IFNA(VLOOKUP(Granger_Inventory[[#This Row],[quality]],Lookups!$A$25:$C$35,3,FALSE),1)</f>
        <v>1</v>
      </c>
      <c r="BS719" s="4">
        <f>_xlfn.IFNA(VLOOKUP(Granger_Inventory[[#This Row],[condition]],Lookups!$A$38:$C$45,3,FALSE),1)</f>
        <v>1</v>
      </c>
      <c r="BT719" s="4">
        <f>IF(Granger_Inventory[[#This Row],[decade]]="",1,_xlfn.IFNA(VLOOKUP(Granger_Inventory[[#This Row],[decade]],Lookups!$G$28:$I$42,3,FALSE),1))</f>
        <v>1</v>
      </c>
      <c r="BU719" s="4">
        <f>_xlfn.IFNA(VLOOKUP(Granger_Inventory[[#This Row],[living_area_range]],Lookups!$A$48:$C$57,3,FALSE),1)</f>
        <v>1</v>
      </c>
      <c r="BV719" s="4">
        <f>AVERAGE(Granger_Inventory[[#This Row],[qual_adj]:[living_range_adj]])</f>
        <v>1</v>
      </c>
      <c r="BW719" s="8">
        <f>(Granger_Inventory[[#This Row],[sum_land]]-IF(Granger_Inventory[[#This Row],[no_utilities]]=1,12000,0))/IF(Granger_Inventory[[#This Row],[unbuildable]]=1,2,1)</f>
        <v>29059.09250674201</v>
      </c>
      <c r="BX719" s="8">
        <f>Granger_Inventory[[#This Row],[pre_res]]*Granger_Inventory[[#This Row],[overall_adj]]</f>
        <v>0</v>
      </c>
      <c r="BY719">
        <f>IF(ROUND(Granger_Inventory[[#This Row],[adj_land]]*Lookups!$I$45,-2)&lt;Granger_Inventory[[#This Row],[min_land]],Granger_Inventory[[#This Row],[min_land]],ROUND(Granger_Inventory[[#This Row],[adj_land]]*Lookups!$I$45,-2))</f>
        <v>27600</v>
      </c>
      <c r="BZ719">
        <f>ROUND(Granger_Inventory[[#This Row],[detatched_value]]*Lookups!$I$45,-2)</f>
        <v>0</v>
      </c>
      <c r="CA71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19">
        <f>Granger_Inventory[[#This Row],[final_det]]+Granger_Inventory[[#This Row],[final_res]]</f>
        <v>0</v>
      </c>
      <c r="CC719">
        <f>Granger_Inventory[[#This Row],[final_land]]+Granger_Inventory[[#This Row],[final_imp]]+Granger_Inventory[[#This Row],[crop_value]]</f>
        <v>27600</v>
      </c>
      <c r="CE719" t="str">
        <f t="shared" si="12"/>
        <v>update valuation set market_land =27600, market_bldg=0, market_total =27600, market_mdno =402, market_date ='9/10/2023' where link_id = (select link_id from parcel where parcel_year = '2024' and parcel_id = '21102231430');</v>
      </c>
    </row>
    <row r="720" spans="1:83" x14ac:dyDescent="0.25">
      <c r="A720">
        <v>21102231431</v>
      </c>
      <c r="B720">
        <v>0.17</v>
      </c>
      <c r="C720">
        <v>7582</v>
      </c>
      <c r="D720" t="s">
        <v>137</v>
      </c>
      <c r="E720" t="s">
        <v>54</v>
      </c>
      <c r="F720" t="s">
        <v>54</v>
      </c>
      <c r="G720">
        <v>3</v>
      </c>
      <c r="H720" t="s">
        <v>55</v>
      </c>
      <c r="I720">
        <v>0</v>
      </c>
      <c r="J720">
        <v>26500</v>
      </c>
      <c r="K720">
        <v>0.17</v>
      </c>
      <c r="L720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720">
        <v>0</v>
      </c>
      <c r="N720">
        <v>0</v>
      </c>
      <c r="O720">
        <v>0</v>
      </c>
      <c r="P720">
        <v>47108.068500000001</v>
      </c>
      <c r="Q720">
        <v>122298</v>
      </c>
      <c r="R720">
        <f>(Granger_Inventory[[#This Row],[ln_acres]]*Granger_Inventory[[#This Row],[coeff]])+Granger_Inventory[[#This Row],[const]]</f>
        <v>38824.535711229546</v>
      </c>
      <c r="AY720">
        <v>0</v>
      </c>
      <c r="AZ720">
        <v>0</v>
      </c>
      <c r="BE720">
        <v>0</v>
      </c>
      <c r="BF720">
        <v>15000</v>
      </c>
      <c r="BG720">
        <v>0</v>
      </c>
      <c r="BH720" s="8">
        <f>Granger_Inventory[[#This Row],[land_extract]]*Lookups!$B$3</f>
        <v>23128.971718879347</v>
      </c>
      <c r="BI720" s="8">
        <f>IF(Granger_Inventory[[#This Row],[bldg_style]]="",0,Lookups!$B$2)</f>
        <v>0</v>
      </c>
      <c r="BJ720" s="8">
        <f>_xlfn.IFNA(VLOOKUP(Granger_Inventory[[#This Row],[quality]],Lookups!$H$2:$J$14,3,FALSE),0)</f>
        <v>0</v>
      </c>
      <c r="BK720" s="8">
        <f>_xlfn.IFNA(VLOOKUP(Granger_Inventory[[#This Row],[condition]],Lookups!$H$17:$J$24,3,FALSE),0)</f>
        <v>0</v>
      </c>
      <c r="BL720" s="8">
        <f>Granger_Inventory[[#This Row],[Age]]*Lookups!$B$16</f>
        <v>0</v>
      </c>
      <c r="BM720" s="8">
        <f>Granger_Inventory[[#This Row],[living_area]]*Lookups!$B$17</f>
        <v>0</v>
      </c>
      <c r="BN720" s="8">
        <f>(Granger_Inventory[[#This Row],[att_gar]]+Granger_Inventory[[#This Row],[blt_gar]])*Lookups!$B$18</f>
        <v>0</v>
      </c>
      <c r="BO720" s="8">
        <f>Granger_Inventory[[#This Row],[Patio]]*Lookups!$B$19</f>
        <v>0</v>
      </c>
      <c r="BP720" s="8">
        <f>SUM(Granger_Inventory[[#This Row],[Intercept]:[Patio_Value]])*Granger_Inventory[[#This Row],[res_pct]]</f>
        <v>0</v>
      </c>
      <c r="BQ720" s="8">
        <f>Granger_Inventory[[#This Row],[land_value]]</f>
        <v>23128.971718879347</v>
      </c>
      <c r="BR720" s="4">
        <f>_xlfn.IFNA(VLOOKUP(Granger_Inventory[[#This Row],[quality]],Lookups!$A$25:$C$35,3,FALSE),1)</f>
        <v>1</v>
      </c>
      <c r="BS720" s="4">
        <f>_xlfn.IFNA(VLOOKUP(Granger_Inventory[[#This Row],[condition]],Lookups!$A$38:$C$45,3,FALSE),1)</f>
        <v>1</v>
      </c>
      <c r="BT720" s="4">
        <f>IF(Granger_Inventory[[#This Row],[decade]]="",1,_xlfn.IFNA(VLOOKUP(Granger_Inventory[[#This Row],[decade]],Lookups!$G$28:$I$42,3,FALSE),1))</f>
        <v>1</v>
      </c>
      <c r="BU720" s="4">
        <f>_xlfn.IFNA(VLOOKUP(Granger_Inventory[[#This Row],[living_area_range]],Lookups!$A$48:$C$57,3,FALSE),1)</f>
        <v>1</v>
      </c>
      <c r="BV720" s="4">
        <f>AVERAGE(Granger_Inventory[[#This Row],[qual_adj]:[living_range_adj]])</f>
        <v>1</v>
      </c>
      <c r="BW720" s="8">
        <f>(Granger_Inventory[[#This Row],[sum_land]]-IF(Granger_Inventory[[#This Row],[no_utilities]]=1,12000,0))/IF(Granger_Inventory[[#This Row],[unbuildable]]=1,2,1)</f>
        <v>23128.971718879347</v>
      </c>
      <c r="BX720" s="8">
        <f>Granger_Inventory[[#This Row],[pre_res]]*Granger_Inventory[[#This Row],[overall_adj]]</f>
        <v>0</v>
      </c>
      <c r="BY720">
        <f>IF(ROUND(Granger_Inventory[[#This Row],[adj_land]]*Lookups!$I$45,-2)&lt;Granger_Inventory[[#This Row],[min_land]],Granger_Inventory[[#This Row],[min_land]],ROUND(Granger_Inventory[[#This Row],[adj_land]]*Lookups!$I$45,-2))</f>
        <v>22000</v>
      </c>
      <c r="BZ720">
        <f>ROUND(Granger_Inventory[[#This Row],[detatched_value]]*Lookups!$I$45,-2)</f>
        <v>0</v>
      </c>
      <c r="CA72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0">
        <f>Granger_Inventory[[#This Row],[final_det]]+Granger_Inventory[[#This Row],[final_res]]</f>
        <v>0</v>
      </c>
      <c r="CC720">
        <f>Granger_Inventory[[#This Row],[final_land]]+Granger_Inventory[[#This Row],[final_imp]]+Granger_Inventory[[#This Row],[crop_value]]</f>
        <v>22000</v>
      </c>
      <c r="CE720" t="str">
        <f t="shared" si="12"/>
        <v>update valuation set market_land =22000, market_bldg=0, market_total =22000, market_mdno =402, market_date ='9/10/2023' where link_id = (select link_id from parcel where parcel_year = '2024' and parcel_id = '21102231431');</v>
      </c>
    </row>
    <row r="721" spans="1:83" x14ac:dyDescent="0.25">
      <c r="A721">
        <v>21102231438</v>
      </c>
      <c r="B721">
        <v>2</v>
      </c>
      <c r="C721">
        <v>86938</v>
      </c>
      <c r="D721" t="s">
        <v>137</v>
      </c>
      <c r="E721" t="s">
        <v>54</v>
      </c>
      <c r="F721" t="s">
        <v>54</v>
      </c>
      <c r="G721">
        <v>3</v>
      </c>
      <c r="H721" t="s">
        <v>55</v>
      </c>
      <c r="I721">
        <v>0</v>
      </c>
      <c r="J721">
        <v>40900</v>
      </c>
      <c r="K721">
        <v>2</v>
      </c>
      <c r="L721">
        <f>IF(Granger_Inventory[[#This Row],[parcel_acres]]-Granger_Inventory[[#This Row],[non_valued_acres]] =0,0,LN(Granger_Inventory[[#This Row],[parcel_acres]]-Granger_Inventory[[#This Row],[non_valued_acres]]))</f>
        <v>0.69314718055994529</v>
      </c>
      <c r="M721">
        <v>0</v>
      </c>
      <c r="N721">
        <v>0</v>
      </c>
      <c r="O721">
        <v>0</v>
      </c>
      <c r="P721">
        <v>47108.068500000001</v>
      </c>
      <c r="Q721">
        <v>122298</v>
      </c>
      <c r="R721">
        <f>(Granger_Inventory[[#This Row],[ln_acres]]*Granger_Inventory[[#This Row],[coeff]])+Granger_Inventory[[#This Row],[const]]</f>
        <v>154950.82486239978</v>
      </c>
      <c r="AY721">
        <v>0</v>
      </c>
      <c r="AZ721">
        <v>0</v>
      </c>
      <c r="BE721">
        <v>0</v>
      </c>
      <c r="BF721">
        <v>15000</v>
      </c>
      <c r="BG721">
        <v>0</v>
      </c>
      <c r="BH721" s="8">
        <f>Granger_Inventory[[#This Row],[land_extract]]*Lookups!$B$3</f>
        <v>92308.978855937312</v>
      </c>
      <c r="BI721" s="8">
        <f>IF(Granger_Inventory[[#This Row],[bldg_style]]="",0,Lookups!$B$2)</f>
        <v>0</v>
      </c>
      <c r="BJ721" s="8">
        <f>_xlfn.IFNA(VLOOKUP(Granger_Inventory[[#This Row],[quality]],Lookups!$H$2:$J$14,3,FALSE),0)</f>
        <v>0</v>
      </c>
      <c r="BK721" s="8">
        <f>_xlfn.IFNA(VLOOKUP(Granger_Inventory[[#This Row],[condition]],Lookups!$H$17:$J$24,3,FALSE),0)</f>
        <v>0</v>
      </c>
      <c r="BL721" s="8">
        <f>Granger_Inventory[[#This Row],[Age]]*Lookups!$B$16</f>
        <v>0</v>
      </c>
      <c r="BM721" s="8">
        <f>Granger_Inventory[[#This Row],[living_area]]*Lookups!$B$17</f>
        <v>0</v>
      </c>
      <c r="BN721" s="8">
        <f>(Granger_Inventory[[#This Row],[att_gar]]+Granger_Inventory[[#This Row],[blt_gar]])*Lookups!$B$18</f>
        <v>0</v>
      </c>
      <c r="BO721" s="8">
        <f>Granger_Inventory[[#This Row],[Patio]]*Lookups!$B$19</f>
        <v>0</v>
      </c>
      <c r="BP721" s="8">
        <f>SUM(Granger_Inventory[[#This Row],[Intercept]:[Patio_Value]])*Granger_Inventory[[#This Row],[res_pct]]</f>
        <v>0</v>
      </c>
      <c r="BQ721" s="8">
        <f>Granger_Inventory[[#This Row],[land_value]]</f>
        <v>92308.978855937312</v>
      </c>
      <c r="BR721" s="4">
        <f>_xlfn.IFNA(VLOOKUP(Granger_Inventory[[#This Row],[quality]],Lookups!$A$25:$C$35,3,FALSE),1)</f>
        <v>1</v>
      </c>
      <c r="BS721" s="4">
        <f>_xlfn.IFNA(VLOOKUP(Granger_Inventory[[#This Row],[condition]],Lookups!$A$38:$C$45,3,FALSE),1)</f>
        <v>1</v>
      </c>
      <c r="BT721" s="4">
        <f>IF(Granger_Inventory[[#This Row],[decade]]="",1,_xlfn.IFNA(VLOOKUP(Granger_Inventory[[#This Row],[decade]],Lookups!$G$28:$I$42,3,FALSE),1))</f>
        <v>1</v>
      </c>
      <c r="BU721" s="4">
        <f>_xlfn.IFNA(VLOOKUP(Granger_Inventory[[#This Row],[living_area_range]],Lookups!$A$48:$C$57,3,FALSE),1)</f>
        <v>1</v>
      </c>
      <c r="BV721" s="4">
        <f>AVERAGE(Granger_Inventory[[#This Row],[qual_adj]:[living_range_adj]])</f>
        <v>1</v>
      </c>
      <c r="BW721" s="8">
        <f>(Granger_Inventory[[#This Row],[sum_land]]-IF(Granger_Inventory[[#This Row],[no_utilities]]=1,12000,0))/IF(Granger_Inventory[[#This Row],[unbuildable]]=1,2,1)</f>
        <v>92308.978855937312</v>
      </c>
      <c r="BX721" s="8">
        <f>Granger_Inventory[[#This Row],[pre_res]]*Granger_Inventory[[#This Row],[overall_adj]]</f>
        <v>0</v>
      </c>
      <c r="BY721">
        <f>IF(ROUND(Granger_Inventory[[#This Row],[adj_land]]*Lookups!$I$45,-2)&lt;Granger_Inventory[[#This Row],[min_land]],Granger_Inventory[[#This Row],[min_land]],ROUND(Granger_Inventory[[#This Row],[adj_land]]*Lookups!$I$45,-2))</f>
        <v>87700</v>
      </c>
      <c r="BZ721">
        <f>ROUND(Granger_Inventory[[#This Row],[detatched_value]]*Lookups!$I$45,-2)</f>
        <v>0</v>
      </c>
      <c r="CA72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1">
        <f>Granger_Inventory[[#This Row],[final_det]]+Granger_Inventory[[#This Row],[final_res]]</f>
        <v>0</v>
      </c>
      <c r="CC721">
        <f>Granger_Inventory[[#This Row],[final_land]]+Granger_Inventory[[#This Row],[final_imp]]+Granger_Inventory[[#This Row],[crop_value]]</f>
        <v>87700</v>
      </c>
      <c r="CE721" t="str">
        <f t="shared" si="12"/>
        <v>update valuation set market_land =87700, market_bldg=0, market_total =87700, market_mdno =402, market_date ='9/10/2023' where link_id = (select link_id from parcel where parcel_year = '2024' and parcel_id = '21102231438');</v>
      </c>
    </row>
    <row r="722" spans="1:83" x14ac:dyDescent="0.25">
      <c r="A722">
        <v>21102231440</v>
      </c>
      <c r="B722">
        <v>9.5500000000000007</v>
      </c>
      <c r="C722" t="s">
        <v>137</v>
      </c>
      <c r="D722" t="s">
        <v>137</v>
      </c>
      <c r="E722" t="s">
        <v>54</v>
      </c>
      <c r="F722" t="s">
        <v>54</v>
      </c>
      <c r="G722">
        <v>3</v>
      </c>
      <c r="H722" t="s">
        <v>55</v>
      </c>
      <c r="I722">
        <v>20500</v>
      </c>
      <c r="J722">
        <v>50000</v>
      </c>
      <c r="K722">
        <v>9.5500000000000007</v>
      </c>
      <c r="L722">
        <f>IF(Granger_Inventory[[#This Row],[parcel_acres]]-Granger_Inventory[[#This Row],[non_valued_acres]] =0,0,LN(Granger_Inventory[[#This Row],[parcel_acres]]-Granger_Inventory[[#This Row],[non_valued_acres]]))</f>
        <v>2.256541154492639</v>
      </c>
      <c r="M722">
        <v>0</v>
      </c>
      <c r="N722">
        <v>0</v>
      </c>
      <c r="O722">
        <v>0</v>
      </c>
      <c r="P722">
        <v>47108.068500000001</v>
      </c>
      <c r="Q722">
        <v>122298</v>
      </c>
      <c r="R722">
        <f>(Granger_Inventory[[#This Row],[ln_acres]]*Granger_Inventory[[#This Row],[coeff]])+Granger_Inventory[[#This Row],[const]]</f>
        <v>228599.29527890834</v>
      </c>
      <c r="AY722">
        <v>18900</v>
      </c>
      <c r="AZ722">
        <v>0</v>
      </c>
      <c r="BE722">
        <v>0</v>
      </c>
      <c r="BF722">
        <v>15000</v>
      </c>
      <c r="BG722">
        <v>0</v>
      </c>
      <c r="BH722" s="8">
        <f>Granger_Inventory[[#This Row],[land_extract]]*Lookups!$B$3</f>
        <v>136183.6410559403</v>
      </c>
      <c r="BI722" s="8">
        <f>IF(Granger_Inventory[[#This Row],[bldg_style]]="",0,Lookups!$B$2)</f>
        <v>0</v>
      </c>
      <c r="BJ722" s="8">
        <f>_xlfn.IFNA(VLOOKUP(Granger_Inventory[[#This Row],[quality]],Lookups!$H$2:$J$14,3,FALSE),0)</f>
        <v>0</v>
      </c>
      <c r="BK722" s="8">
        <f>_xlfn.IFNA(VLOOKUP(Granger_Inventory[[#This Row],[condition]],Lookups!$H$17:$J$24,3,FALSE),0)</f>
        <v>0</v>
      </c>
      <c r="BL722" s="8">
        <f>Granger_Inventory[[#This Row],[Age]]*Lookups!$B$16</f>
        <v>0</v>
      </c>
      <c r="BM722" s="8">
        <f>Granger_Inventory[[#This Row],[living_area]]*Lookups!$B$17</f>
        <v>0</v>
      </c>
      <c r="BN722" s="8">
        <f>(Granger_Inventory[[#This Row],[att_gar]]+Granger_Inventory[[#This Row],[blt_gar]])*Lookups!$B$18</f>
        <v>0</v>
      </c>
      <c r="BO722" s="8">
        <f>Granger_Inventory[[#This Row],[Patio]]*Lookups!$B$19</f>
        <v>0</v>
      </c>
      <c r="BP722" s="8">
        <f>SUM(Granger_Inventory[[#This Row],[Intercept]:[Patio_Value]])*Granger_Inventory[[#This Row],[res_pct]]</f>
        <v>0</v>
      </c>
      <c r="BQ722" s="8">
        <f>Granger_Inventory[[#This Row],[land_value]]</f>
        <v>136183.6410559403</v>
      </c>
      <c r="BR722" s="4">
        <f>_xlfn.IFNA(VLOOKUP(Granger_Inventory[[#This Row],[quality]],Lookups!$A$25:$C$35,3,FALSE),1)</f>
        <v>1</v>
      </c>
      <c r="BS722" s="4">
        <f>_xlfn.IFNA(VLOOKUP(Granger_Inventory[[#This Row],[condition]],Lookups!$A$38:$C$45,3,FALSE),1)</f>
        <v>1</v>
      </c>
      <c r="BT722" s="4">
        <f>IF(Granger_Inventory[[#This Row],[decade]]="",1,_xlfn.IFNA(VLOOKUP(Granger_Inventory[[#This Row],[decade]],Lookups!$G$28:$I$42,3,FALSE),1))</f>
        <v>1</v>
      </c>
      <c r="BU722" s="4">
        <f>_xlfn.IFNA(VLOOKUP(Granger_Inventory[[#This Row],[living_area_range]],Lookups!$A$48:$C$57,3,FALSE),1)</f>
        <v>1</v>
      </c>
      <c r="BV722" s="4">
        <f>AVERAGE(Granger_Inventory[[#This Row],[qual_adj]:[living_range_adj]])</f>
        <v>1</v>
      </c>
      <c r="BW722" s="8">
        <f>(Granger_Inventory[[#This Row],[sum_land]]-IF(Granger_Inventory[[#This Row],[no_utilities]]=1,12000,0))/IF(Granger_Inventory[[#This Row],[unbuildable]]=1,2,1)</f>
        <v>136183.6410559403</v>
      </c>
      <c r="BX722" s="8">
        <f>Granger_Inventory[[#This Row],[pre_res]]*Granger_Inventory[[#This Row],[overall_adj]]</f>
        <v>0</v>
      </c>
      <c r="BY722">
        <f>IF(ROUND(Granger_Inventory[[#This Row],[adj_land]]*Lookups!$I$45,-2)&lt;Granger_Inventory[[#This Row],[min_land]],Granger_Inventory[[#This Row],[min_land]],ROUND(Granger_Inventory[[#This Row],[adj_land]]*Lookups!$I$45,-2))</f>
        <v>129400</v>
      </c>
      <c r="BZ722">
        <f>ROUND(Granger_Inventory[[#This Row],[detatched_value]]*Lookups!$I$45,-2)</f>
        <v>0</v>
      </c>
      <c r="CA72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2">
        <f>Granger_Inventory[[#This Row],[final_det]]+Granger_Inventory[[#This Row],[final_res]]</f>
        <v>0</v>
      </c>
      <c r="CC722">
        <f>Granger_Inventory[[#This Row],[final_land]]+Granger_Inventory[[#This Row],[final_imp]]+Granger_Inventory[[#This Row],[crop_value]]</f>
        <v>148300</v>
      </c>
      <c r="CE722" t="str">
        <f t="shared" si="12"/>
        <v>update valuation set market_land =129400, market_bldg=0, market_total =148300, market_mdno =402, market_date ='9/10/2023' where link_id = (select link_id from parcel where parcel_year = '2024' and parcel_id = '21102231440');</v>
      </c>
    </row>
    <row r="723" spans="1:83" x14ac:dyDescent="0.25">
      <c r="A723">
        <v>21102232415</v>
      </c>
      <c r="B723">
        <v>0.68</v>
      </c>
      <c r="C723">
        <v>29464</v>
      </c>
      <c r="D723" t="s">
        <v>137</v>
      </c>
      <c r="E723" t="s">
        <v>54</v>
      </c>
      <c r="F723" t="s">
        <v>54</v>
      </c>
      <c r="G723">
        <v>3</v>
      </c>
      <c r="H723" t="s">
        <v>55</v>
      </c>
      <c r="I723">
        <v>0</v>
      </c>
      <c r="J723">
        <v>34600</v>
      </c>
      <c r="K723">
        <v>0.68</v>
      </c>
      <c r="L723">
        <f>IF(Granger_Inventory[[#This Row],[parcel_acres]]-Granger_Inventory[[#This Row],[non_valued_acres]] =0,0,LN(Granger_Inventory[[#This Row],[parcel_acres]]-Granger_Inventory[[#This Row],[non_valued_acres]]))</f>
        <v>-0.38566248081198462</v>
      </c>
      <c r="M723">
        <v>0</v>
      </c>
      <c r="N723">
        <v>0</v>
      </c>
      <c r="O723">
        <v>0</v>
      </c>
      <c r="P723">
        <v>47108.068500000001</v>
      </c>
      <c r="Q723">
        <v>122298</v>
      </c>
      <c r="R723">
        <f>(Granger_Inventory[[#This Row],[ln_acres]]*Granger_Inventory[[#This Row],[coeff]])+Granger_Inventory[[#This Row],[const]]</f>
        <v>104130.18543602909</v>
      </c>
      <c r="AY723">
        <v>0</v>
      </c>
      <c r="AZ723">
        <v>0</v>
      </c>
      <c r="BE723">
        <v>0</v>
      </c>
      <c r="BF723">
        <v>15000</v>
      </c>
      <c r="BG723">
        <v>0</v>
      </c>
      <c r="BH723" s="8">
        <f>Granger_Inventory[[#This Row],[land_extract]]*Lookups!$B$3</f>
        <v>62033.558673953958</v>
      </c>
      <c r="BI723" s="8">
        <f>IF(Granger_Inventory[[#This Row],[bldg_style]]="",0,Lookups!$B$2)</f>
        <v>0</v>
      </c>
      <c r="BJ723" s="8">
        <f>_xlfn.IFNA(VLOOKUP(Granger_Inventory[[#This Row],[quality]],Lookups!$H$2:$J$14,3,FALSE),0)</f>
        <v>0</v>
      </c>
      <c r="BK723" s="8">
        <f>_xlfn.IFNA(VLOOKUP(Granger_Inventory[[#This Row],[condition]],Lookups!$H$17:$J$24,3,FALSE),0)</f>
        <v>0</v>
      </c>
      <c r="BL723" s="8">
        <f>Granger_Inventory[[#This Row],[Age]]*Lookups!$B$16</f>
        <v>0</v>
      </c>
      <c r="BM723" s="8">
        <f>Granger_Inventory[[#This Row],[living_area]]*Lookups!$B$17</f>
        <v>0</v>
      </c>
      <c r="BN723" s="8">
        <f>(Granger_Inventory[[#This Row],[att_gar]]+Granger_Inventory[[#This Row],[blt_gar]])*Lookups!$B$18</f>
        <v>0</v>
      </c>
      <c r="BO723" s="8">
        <f>Granger_Inventory[[#This Row],[Patio]]*Lookups!$B$19</f>
        <v>0</v>
      </c>
      <c r="BP723" s="8">
        <f>SUM(Granger_Inventory[[#This Row],[Intercept]:[Patio_Value]])*Granger_Inventory[[#This Row],[res_pct]]</f>
        <v>0</v>
      </c>
      <c r="BQ723" s="8">
        <f>Granger_Inventory[[#This Row],[land_value]]</f>
        <v>62033.558673953958</v>
      </c>
      <c r="BR723" s="4">
        <f>_xlfn.IFNA(VLOOKUP(Granger_Inventory[[#This Row],[quality]],Lookups!$A$25:$C$35,3,FALSE),1)</f>
        <v>1</v>
      </c>
      <c r="BS723" s="4">
        <f>_xlfn.IFNA(VLOOKUP(Granger_Inventory[[#This Row],[condition]],Lookups!$A$38:$C$45,3,FALSE),1)</f>
        <v>1</v>
      </c>
      <c r="BT723" s="4">
        <f>IF(Granger_Inventory[[#This Row],[decade]]="",1,_xlfn.IFNA(VLOOKUP(Granger_Inventory[[#This Row],[decade]],Lookups!$G$28:$I$42,3,FALSE),1))</f>
        <v>1</v>
      </c>
      <c r="BU723" s="4">
        <f>_xlfn.IFNA(VLOOKUP(Granger_Inventory[[#This Row],[living_area_range]],Lookups!$A$48:$C$57,3,FALSE),1)</f>
        <v>1</v>
      </c>
      <c r="BV723" s="4">
        <f>AVERAGE(Granger_Inventory[[#This Row],[qual_adj]:[living_range_adj]])</f>
        <v>1</v>
      </c>
      <c r="BW723" s="8">
        <f>(Granger_Inventory[[#This Row],[sum_land]]-IF(Granger_Inventory[[#This Row],[no_utilities]]=1,12000,0))/IF(Granger_Inventory[[#This Row],[unbuildable]]=1,2,1)</f>
        <v>62033.558673953958</v>
      </c>
      <c r="BX723" s="8">
        <f>Granger_Inventory[[#This Row],[pre_res]]*Granger_Inventory[[#This Row],[overall_adj]]</f>
        <v>0</v>
      </c>
      <c r="BY723">
        <f>IF(ROUND(Granger_Inventory[[#This Row],[adj_land]]*Lookups!$I$45,-2)&lt;Granger_Inventory[[#This Row],[min_land]],Granger_Inventory[[#This Row],[min_land]],ROUND(Granger_Inventory[[#This Row],[adj_land]]*Lookups!$I$45,-2))</f>
        <v>58900</v>
      </c>
      <c r="BZ723">
        <f>ROUND(Granger_Inventory[[#This Row],[detatched_value]]*Lookups!$I$45,-2)</f>
        <v>0</v>
      </c>
      <c r="CA723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3">
        <f>Granger_Inventory[[#This Row],[final_det]]+Granger_Inventory[[#This Row],[final_res]]</f>
        <v>0</v>
      </c>
      <c r="CC723">
        <f>Granger_Inventory[[#This Row],[final_land]]+Granger_Inventory[[#This Row],[final_imp]]+Granger_Inventory[[#This Row],[crop_value]]</f>
        <v>58900</v>
      </c>
      <c r="CE723" t="str">
        <f t="shared" si="12"/>
        <v>update valuation set market_land =58900, market_bldg=0, market_total =58900, market_mdno =402, market_date ='9/10/2023' where link_id = (select link_id from parcel where parcel_year = '2024' and parcel_id = '21102232415');</v>
      </c>
    </row>
    <row r="724" spans="1:83" x14ac:dyDescent="0.25">
      <c r="A724">
        <v>21102232422</v>
      </c>
      <c r="B724">
        <v>0.36</v>
      </c>
      <c r="C724">
        <v>16102</v>
      </c>
      <c r="D724" t="s">
        <v>137</v>
      </c>
      <c r="E724" t="s">
        <v>54</v>
      </c>
      <c r="F724" t="s">
        <v>54</v>
      </c>
      <c r="G724">
        <v>3</v>
      </c>
      <c r="H724" t="s">
        <v>55</v>
      </c>
      <c r="I724">
        <v>0</v>
      </c>
      <c r="J724">
        <v>30900</v>
      </c>
      <c r="K724">
        <v>0.36</v>
      </c>
      <c r="L724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724">
        <v>0</v>
      </c>
      <c r="N724">
        <v>0</v>
      </c>
      <c r="O724">
        <v>0</v>
      </c>
      <c r="P724">
        <v>47108.068500000001</v>
      </c>
      <c r="Q724">
        <v>122298</v>
      </c>
      <c r="R724">
        <f>(Granger_Inventory[[#This Row],[ln_acres]]*Granger_Inventory[[#This Row],[coeff]])+Granger_Inventory[[#This Row],[const]]</f>
        <v>74169.983048152964</v>
      </c>
      <c r="AY724">
        <v>0</v>
      </c>
      <c r="AZ724">
        <v>0</v>
      </c>
      <c r="BE724">
        <v>0</v>
      </c>
      <c r="BF724">
        <v>15000</v>
      </c>
      <c r="BG724">
        <v>0</v>
      </c>
      <c r="BH724" s="8">
        <f>Granger_Inventory[[#This Row],[land_extract]]*Lookups!$B$3</f>
        <v>44185.343337262602</v>
      </c>
      <c r="BI724" s="8">
        <f>IF(Granger_Inventory[[#This Row],[bldg_style]]="",0,Lookups!$B$2)</f>
        <v>0</v>
      </c>
      <c r="BJ724" s="8">
        <f>_xlfn.IFNA(VLOOKUP(Granger_Inventory[[#This Row],[quality]],Lookups!$H$2:$J$14,3,FALSE),0)</f>
        <v>0</v>
      </c>
      <c r="BK724" s="8">
        <f>_xlfn.IFNA(VLOOKUP(Granger_Inventory[[#This Row],[condition]],Lookups!$H$17:$J$24,3,FALSE),0)</f>
        <v>0</v>
      </c>
      <c r="BL724" s="8">
        <f>Granger_Inventory[[#This Row],[Age]]*Lookups!$B$16</f>
        <v>0</v>
      </c>
      <c r="BM724" s="8">
        <f>Granger_Inventory[[#This Row],[living_area]]*Lookups!$B$17</f>
        <v>0</v>
      </c>
      <c r="BN724" s="8">
        <f>(Granger_Inventory[[#This Row],[att_gar]]+Granger_Inventory[[#This Row],[blt_gar]])*Lookups!$B$18</f>
        <v>0</v>
      </c>
      <c r="BO724" s="8">
        <f>Granger_Inventory[[#This Row],[Patio]]*Lookups!$B$19</f>
        <v>0</v>
      </c>
      <c r="BP724" s="8">
        <f>SUM(Granger_Inventory[[#This Row],[Intercept]:[Patio_Value]])*Granger_Inventory[[#This Row],[res_pct]]</f>
        <v>0</v>
      </c>
      <c r="BQ724" s="8">
        <f>Granger_Inventory[[#This Row],[land_value]]</f>
        <v>44185.343337262602</v>
      </c>
      <c r="BR724" s="4">
        <f>_xlfn.IFNA(VLOOKUP(Granger_Inventory[[#This Row],[quality]],Lookups!$A$25:$C$35,3,FALSE),1)</f>
        <v>1</v>
      </c>
      <c r="BS724" s="4">
        <f>_xlfn.IFNA(VLOOKUP(Granger_Inventory[[#This Row],[condition]],Lookups!$A$38:$C$45,3,FALSE),1)</f>
        <v>1</v>
      </c>
      <c r="BT724" s="4">
        <f>IF(Granger_Inventory[[#This Row],[decade]]="",1,_xlfn.IFNA(VLOOKUP(Granger_Inventory[[#This Row],[decade]],Lookups!$G$28:$I$42,3,FALSE),1))</f>
        <v>1</v>
      </c>
      <c r="BU724" s="4">
        <f>_xlfn.IFNA(VLOOKUP(Granger_Inventory[[#This Row],[living_area_range]],Lookups!$A$48:$C$57,3,FALSE),1)</f>
        <v>1</v>
      </c>
      <c r="BV724" s="4">
        <f>AVERAGE(Granger_Inventory[[#This Row],[qual_adj]:[living_range_adj]])</f>
        <v>1</v>
      </c>
      <c r="BW724" s="8">
        <f>(Granger_Inventory[[#This Row],[sum_land]]-IF(Granger_Inventory[[#This Row],[no_utilities]]=1,12000,0))/IF(Granger_Inventory[[#This Row],[unbuildable]]=1,2,1)</f>
        <v>44185.343337262602</v>
      </c>
      <c r="BX724" s="8">
        <f>Granger_Inventory[[#This Row],[pre_res]]*Granger_Inventory[[#This Row],[overall_adj]]</f>
        <v>0</v>
      </c>
      <c r="BY724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724">
        <f>ROUND(Granger_Inventory[[#This Row],[detatched_value]]*Lookups!$I$45,-2)</f>
        <v>0</v>
      </c>
      <c r="CA724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4">
        <f>Granger_Inventory[[#This Row],[final_det]]+Granger_Inventory[[#This Row],[final_res]]</f>
        <v>0</v>
      </c>
      <c r="CC724">
        <f>Granger_Inventory[[#This Row],[final_land]]+Granger_Inventory[[#This Row],[final_imp]]+Granger_Inventory[[#This Row],[crop_value]]</f>
        <v>42000</v>
      </c>
      <c r="CE724" t="str">
        <f t="shared" si="12"/>
        <v>update valuation set market_land =42000, market_bldg=0, market_total =42000, market_mdno =402, market_date ='9/10/2023' where link_id = (select link_id from parcel where parcel_year = '2024' and parcel_id = '21102232422');</v>
      </c>
    </row>
    <row r="725" spans="1:83" x14ac:dyDescent="0.25">
      <c r="A725">
        <v>21102232427</v>
      </c>
      <c r="B725">
        <v>7.03</v>
      </c>
      <c r="C725">
        <v>306272</v>
      </c>
      <c r="D725" t="s">
        <v>137</v>
      </c>
      <c r="E725" t="s">
        <v>54</v>
      </c>
      <c r="F725" t="s">
        <v>54</v>
      </c>
      <c r="G725">
        <v>3</v>
      </c>
      <c r="H725" t="s">
        <v>55</v>
      </c>
      <c r="I725">
        <v>0</v>
      </c>
      <c r="J725">
        <v>48200</v>
      </c>
      <c r="K725">
        <v>7.03</v>
      </c>
      <c r="L725">
        <f>IF(Granger_Inventory[[#This Row],[parcel_acres]]-Granger_Inventory[[#This Row],[non_valued_acres]] =0,0,LN(Granger_Inventory[[#This Row],[parcel_acres]]-Granger_Inventory[[#This Row],[non_valued_acres]]))</f>
        <v>1.9501867058225735</v>
      </c>
      <c r="M725">
        <v>0</v>
      </c>
      <c r="N725">
        <v>0</v>
      </c>
      <c r="O725">
        <v>0</v>
      </c>
      <c r="P725">
        <v>47108.068500000001</v>
      </c>
      <c r="Q725">
        <v>122298</v>
      </c>
      <c r="R725">
        <f>(Granger_Inventory[[#This Row],[ln_acres]]*Granger_Inventory[[#This Row],[coeff]])+Granger_Inventory[[#This Row],[const]]</f>
        <v>214167.52892567916</v>
      </c>
      <c r="AY725">
        <v>0</v>
      </c>
      <c r="AZ725">
        <v>0</v>
      </c>
      <c r="BE725">
        <v>0</v>
      </c>
      <c r="BF725">
        <v>15000</v>
      </c>
      <c r="BG725">
        <v>0</v>
      </c>
      <c r="BH725" s="8">
        <f>Granger_Inventory[[#This Row],[land_extract]]*Lookups!$B$3</f>
        <v>127586.19334091799</v>
      </c>
      <c r="BI725" s="8">
        <f>IF(Granger_Inventory[[#This Row],[bldg_style]]="",0,Lookups!$B$2)</f>
        <v>0</v>
      </c>
      <c r="BJ725" s="8">
        <f>_xlfn.IFNA(VLOOKUP(Granger_Inventory[[#This Row],[quality]],Lookups!$H$2:$J$14,3,FALSE),0)</f>
        <v>0</v>
      </c>
      <c r="BK725" s="8">
        <f>_xlfn.IFNA(VLOOKUP(Granger_Inventory[[#This Row],[condition]],Lookups!$H$17:$J$24,3,FALSE),0)</f>
        <v>0</v>
      </c>
      <c r="BL725" s="8">
        <f>Granger_Inventory[[#This Row],[Age]]*Lookups!$B$16</f>
        <v>0</v>
      </c>
      <c r="BM725" s="8">
        <f>Granger_Inventory[[#This Row],[living_area]]*Lookups!$B$17</f>
        <v>0</v>
      </c>
      <c r="BN725" s="8">
        <f>(Granger_Inventory[[#This Row],[att_gar]]+Granger_Inventory[[#This Row],[blt_gar]])*Lookups!$B$18</f>
        <v>0</v>
      </c>
      <c r="BO725" s="8">
        <f>Granger_Inventory[[#This Row],[Patio]]*Lookups!$B$19</f>
        <v>0</v>
      </c>
      <c r="BP725" s="8">
        <f>SUM(Granger_Inventory[[#This Row],[Intercept]:[Patio_Value]])*Granger_Inventory[[#This Row],[res_pct]]</f>
        <v>0</v>
      </c>
      <c r="BQ725" s="8">
        <f>Granger_Inventory[[#This Row],[land_value]]</f>
        <v>127586.19334091799</v>
      </c>
      <c r="BR725" s="4">
        <f>_xlfn.IFNA(VLOOKUP(Granger_Inventory[[#This Row],[quality]],Lookups!$A$25:$C$35,3,FALSE),1)</f>
        <v>1</v>
      </c>
      <c r="BS725" s="4">
        <f>_xlfn.IFNA(VLOOKUP(Granger_Inventory[[#This Row],[condition]],Lookups!$A$38:$C$45,3,FALSE),1)</f>
        <v>1</v>
      </c>
      <c r="BT725" s="4">
        <f>IF(Granger_Inventory[[#This Row],[decade]]="",1,_xlfn.IFNA(VLOOKUP(Granger_Inventory[[#This Row],[decade]],Lookups!$G$28:$I$42,3,FALSE),1))</f>
        <v>1</v>
      </c>
      <c r="BU725" s="4">
        <f>_xlfn.IFNA(VLOOKUP(Granger_Inventory[[#This Row],[living_area_range]],Lookups!$A$48:$C$57,3,FALSE),1)</f>
        <v>1</v>
      </c>
      <c r="BV725" s="4">
        <f>AVERAGE(Granger_Inventory[[#This Row],[qual_adj]:[living_range_adj]])</f>
        <v>1</v>
      </c>
      <c r="BW725" s="8">
        <f>(Granger_Inventory[[#This Row],[sum_land]]-IF(Granger_Inventory[[#This Row],[no_utilities]]=1,12000,0))/IF(Granger_Inventory[[#This Row],[unbuildable]]=1,2,1)</f>
        <v>127586.19334091799</v>
      </c>
      <c r="BX725" s="8">
        <f>Granger_Inventory[[#This Row],[pre_res]]*Granger_Inventory[[#This Row],[overall_adj]]</f>
        <v>0</v>
      </c>
      <c r="BY725">
        <f>IF(ROUND(Granger_Inventory[[#This Row],[adj_land]]*Lookups!$I$45,-2)&lt;Granger_Inventory[[#This Row],[min_land]],Granger_Inventory[[#This Row],[min_land]],ROUND(Granger_Inventory[[#This Row],[adj_land]]*Lookups!$I$45,-2))</f>
        <v>121200</v>
      </c>
      <c r="BZ725">
        <f>ROUND(Granger_Inventory[[#This Row],[detatched_value]]*Lookups!$I$45,-2)</f>
        <v>0</v>
      </c>
      <c r="CA725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5">
        <f>Granger_Inventory[[#This Row],[final_det]]+Granger_Inventory[[#This Row],[final_res]]</f>
        <v>0</v>
      </c>
      <c r="CC725">
        <f>Granger_Inventory[[#This Row],[final_land]]+Granger_Inventory[[#This Row],[final_imp]]+Granger_Inventory[[#This Row],[crop_value]]</f>
        <v>121200</v>
      </c>
      <c r="CE725" t="str">
        <f t="shared" si="12"/>
        <v>update valuation set market_land =121200, market_bldg=0, market_total =121200, market_mdno =402, market_date ='9/10/2023' where link_id = (select link_id from parcel where parcel_year = '2024' and parcel_id = '21102232427');</v>
      </c>
    </row>
    <row r="726" spans="1:83" x14ac:dyDescent="0.25">
      <c r="A726">
        <v>21102232432</v>
      </c>
      <c r="B726">
        <v>0.17</v>
      </c>
      <c r="C726">
        <v>7760</v>
      </c>
      <c r="D726" t="s">
        <v>137</v>
      </c>
      <c r="E726" t="s">
        <v>54</v>
      </c>
      <c r="F726" t="s">
        <v>54</v>
      </c>
      <c r="G726">
        <v>3</v>
      </c>
      <c r="H726" t="s">
        <v>55</v>
      </c>
      <c r="I726">
        <v>0</v>
      </c>
      <c r="J726">
        <v>26500</v>
      </c>
      <c r="K726">
        <v>0.17</v>
      </c>
      <c r="L726">
        <f>IF(Granger_Inventory[[#This Row],[parcel_acres]]-Granger_Inventory[[#This Row],[non_valued_acres]] =0,0,LN(Granger_Inventory[[#This Row],[parcel_acres]]-Granger_Inventory[[#This Row],[non_valued_acres]]))</f>
        <v>-1.7719568419318752</v>
      </c>
      <c r="M726">
        <v>0</v>
      </c>
      <c r="N726">
        <v>1</v>
      </c>
      <c r="O726">
        <v>0</v>
      </c>
      <c r="P726">
        <v>47108.068500000001</v>
      </c>
      <c r="Q726">
        <v>122298</v>
      </c>
      <c r="R726">
        <f>(Granger_Inventory[[#This Row],[ln_acres]]*Granger_Inventory[[#This Row],[coeff]])+Granger_Inventory[[#This Row],[const]]</f>
        <v>38824.535711229546</v>
      </c>
      <c r="AY726">
        <v>0</v>
      </c>
      <c r="AZ726">
        <v>0</v>
      </c>
      <c r="BE726">
        <v>0</v>
      </c>
      <c r="BF726">
        <v>12000</v>
      </c>
      <c r="BG726">
        <v>0</v>
      </c>
      <c r="BH726" s="8">
        <f>Granger_Inventory[[#This Row],[land_extract]]*Lookups!$B$3</f>
        <v>23128.971718879347</v>
      </c>
      <c r="BI726" s="8">
        <f>IF(Granger_Inventory[[#This Row],[bldg_style]]="",0,Lookups!$B$2)</f>
        <v>0</v>
      </c>
      <c r="BJ726" s="8">
        <f>_xlfn.IFNA(VLOOKUP(Granger_Inventory[[#This Row],[quality]],Lookups!$H$2:$J$14,3,FALSE),0)</f>
        <v>0</v>
      </c>
      <c r="BK726" s="8">
        <f>_xlfn.IFNA(VLOOKUP(Granger_Inventory[[#This Row],[condition]],Lookups!$H$17:$J$24,3,FALSE),0)</f>
        <v>0</v>
      </c>
      <c r="BL726" s="8">
        <f>Granger_Inventory[[#This Row],[Age]]*Lookups!$B$16</f>
        <v>0</v>
      </c>
      <c r="BM726" s="8">
        <f>Granger_Inventory[[#This Row],[living_area]]*Lookups!$B$17</f>
        <v>0</v>
      </c>
      <c r="BN726" s="8">
        <f>(Granger_Inventory[[#This Row],[att_gar]]+Granger_Inventory[[#This Row],[blt_gar]])*Lookups!$B$18</f>
        <v>0</v>
      </c>
      <c r="BO726" s="8">
        <f>Granger_Inventory[[#This Row],[Patio]]*Lookups!$B$19</f>
        <v>0</v>
      </c>
      <c r="BP726" s="8">
        <f>SUM(Granger_Inventory[[#This Row],[Intercept]:[Patio_Value]])*Granger_Inventory[[#This Row],[res_pct]]</f>
        <v>0</v>
      </c>
      <c r="BQ726" s="8">
        <f>Granger_Inventory[[#This Row],[land_value]]</f>
        <v>23128.971718879347</v>
      </c>
      <c r="BR726" s="4">
        <f>_xlfn.IFNA(VLOOKUP(Granger_Inventory[[#This Row],[quality]],Lookups!$A$25:$C$35,3,FALSE),1)</f>
        <v>1</v>
      </c>
      <c r="BS726" s="4">
        <f>_xlfn.IFNA(VLOOKUP(Granger_Inventory[[#This Row],[condition]],Lookups!$A$38:$C$45,3,FALSE),1)</f>
        <v>1</v>
      </c>
      <c r="BT726" s="4">
        <f>IF(Granger_Inventory[[#This Row],[decade]]="",1,_xlfn.IFNA(VLOOKUP(Granger_Inventory[[#This Row],[decade]],Lookups!$G$28:$I$42,3,FALSE),1))</f>
        <v>1</v>
      </c>
      <c r="BU726" s="4">
        <f>_xlfn.IFNA(VLOOKUP(Granger_Inventory[[#This Row],[living_area_range]],Lookups!$A$48:$C$57,3,FALSE),1)</f>
        <v>1</v>
      </c>
      <c r="BV726" s="4">
        <f>AVERAGE(Granger_Inventory[[#This Row],[qual_adj]:[living_range_adj]])</f>
        <v>1</v>
      </c>
      <c r="BW726" s="8">
        <f>(Granger_Inventory[[#This Row],[sum_land]]-IF(Granger_Inventory[[#This Row],[no_utilities]]=1,12000,0))/IF(Granger_Inventory[[#This Row],[unbuildable]]=1,2,1)</f>
        <v>11564.485859439674</v>
      </c>
      <c r="BX726" s="8">
        <f>Granger_Inventory[[#This Row],[pre_res]]*Granger_Inventory[[#This Row],[overall_adj]]</f>
        <v>0</v>
      </c>
      <c r="BY726">
        <f>IF(ROUND(Granger_Inventory[[#This Row],[adj_land]]*Lookups!$I$45,-2)&lt;Granger_Inventory[[#This Row],[min_land]],Granger_Inventory[[#This Row],[min_land]],ROUND(Granger_Inventory[[#This Row],[adj_land]]*Lookups!$I$45,-2))</f>
        <v>12000</v>
      </c>
      <c r="BZ726">
        <f>ROUND(Granger_Inventory[[#This Row],[detatched_value]]*Lookups!$I$45,-2)</f>
        <v>0</v>
      </c>
      <c r="CA726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6">
        <f>Granger_Inventory[[#This Row],[final_det]]+Granger_Inventory[[#This Row],[final_res]]</f>
        <v>0</v>
      </c>
      <c r="CC726">
        <f>Granger_Inventory[[#This Row],[final_land]]+Granger_Inventory[[#This Row],[final_imp]]+Granger_Inventory[[#This Row],[crop_value]]</f>
        <v>12000</v>
      </c>
      <c r="CE726" t="str">
        <f t="shared" si="12"/>
        <v>update valuation set market_land =12000, market_bldg=0, market_total =12000, market_mdno =402, market_date ='9/10/2023' where link_id = (select link_id from parcel where parcel_year = '2024' and parcel_id = '21102232432');</v>
      </c>
    </row>
    <row r="727" spans="1:83" x14ac:dyDescent="0.25">
      <c r="A727">
        <v>21102232441</v>
      </c>
      <c r="B727">
        <v>0.36</v>
      </c>
      <c r="C727">
        <v>15887</v>
      </c>
      <c r="D727" t="s">
        <v>137</v>
      </c>
      <c r="E727" t="s">
        <v>54</v>
      </c>
      <c r="F727" t="s">
        <v>54</v>
      </c>
      <c r="G727">
        <v>3</v>
      </c>
      <c r="H727" t="s">
        <v>55</v>
      </c>
      <c r="I727">
        <v>0</v>
      </c>
      <c r="J727">
        <v>10000</v>
      </c>
      <c r="K727">
        <v>0.36</v>
      </c>
      <c r="L727">
        <f>IF(Granger_Inventory[[#This Row],[parcel_acres]]-Granger_Inventory[[#This Row],[non_valued_acres]] =0,0,LN(Granger_Inventory[[#This Row],[parcel_acres]]-Granger_Inventory[[#This Row],[non_valued_acres]]))</f>
        <v>-1.0216512475319814</v>
      </c>
      <c r="M727">
        <v>0</v>
      </c>
      <c r="N727">
        <v>0</v>
      </c>
      <c r="O727">
        <v>0</v>
      </c>
      <c r="P727">
        <v>47108.068500000001</v>
      </c>
      <c r="Q727">
        <v>122298</v>
      </c>
      <c r="R727">
        <f>(Granger_Inventory[[#This Row],[ln_acres]]*Granger_Inventory[[#This Row],[coeff]])+Granger_Inventory[[#This Row],[const]]</f>
        <v>74169.983048152964</v>
      </c>
      <c r="AY727">
        <v>0</v>
      </c>
      <c r="AZ727">
        <v>0</v>
      </c>
      <c r="BE727">
        <v>0</v>
      </c>
      <c r="BF727">
        <v>15000</v>
      </c>
      <c r="BG727">
        <v>0</v>
      </c>
      <c r="BH727" s="8">
        <f>Granger_Inventory[[#This Row],[land_extract]]*Lookups!$B$3</f>
        <v>44185.343337262602</v>
      </c>
      <c r="BI727" s="8">
        <f>IF(Granger_Inventory[[#This Row],[bldg_style]]="",0,Lookups!$B$2)</f>
        <v>0</v>
      </c>
      <c r="BJ727" s="8">
        <f>_xlfn.IFNA(VLOOKUP(Granger_Inventory[[#This Row],[quality]],Lookups!$H$2:$J$14,3,FALSE),0)</f>
        <v>0</v>
      </c>
      <c r="BK727" s="8">
        <f>_xlfn.IFNA(VLOOKUP(Granger_Inventory[[#This Row],[condition]],Lookups!$H$17:$J$24,3,FALSE),0)</f>
        <v>0</v>
      </c>
      <c r="BL727" s="8">
        <f>Granger_Inventory[[#This Row],[Age]]*Lookups!$B$16</f>
        <v>0</v>
      </c>
      <c r="BM727" s="8">
        <f>Granger_Inventory[[#This Row],[living_area]]*Lookups!$B$17</f>
        <v>0</v>
      </c>
      <c r="BN727" s="8">
        <f>(Granger_Inventory[[#This Row],[att_gar]]+Granger_Inventory[[#This Row],[blt_gar]])*Lookups!$B$18</f>
        <v>0</v>
      </c>
      <c r="BO727" s="8">
        <f>Granger_Inventory[[#This Row],[Patio]]*Lookups!$B$19</f>
        <v>0</v>
      </c>
      <c r="BP727" s="8">
        <f>SUM(Granger_Inventory[[#This Row],[Intercept]:[Patio_Value]])*Granger_Inventory[[#This Row],[res_pct]]</f>
        <v>0</v>
      </c>
      <c r="BQ727" s="8">
        <f>Granger_Inventory[[#This Row],[land_value]]</f>
        <v>44185.343337262602</v>
      </c>
      <c r="BR727" s="4">
        <f>_xlfn.IFNA(VLOOKUP(Granger_Inventory[[#This Row],[quality]],Lookups!$A$25:$C$35,3,FALSE),1)</f>
        <v>1</v>
      </c>
      <c r="BS727" s="4">
        <f>_xlfn.IFNA(VLOOKUP(Granger_Inventory[[#This Row],[condition]],Lookups!$A$38:$C$45,3,FALSE),1)</f>
        <v>1</v>
      </c>
      <c r="BT727" s="4">
        <f>IF(Granger_Inventory[[#This Row],[decade]]="",1,_xlfn.IFNA(VLOOKUP(Granger_Inventory[[#This Row],[decade]],Lookups!$G$28:$I$42,3,FALSE),1))</f>
        <v>1</v>
      </c>
      <c r="BU727" s="4">
        <f>_xlfn.IFNA(VLOOKUP(Granger_Inventory[[#This Row],[living_area_range]],Lookups!$A$48:$C$57,3,FALSE),1)</f>
        <v>1</v>
      </c>
      <c r="BV727" s="4">
        <f>AVERAGE(Granger_Inventory[[#This Row],[qual_adj]:[living_range_adj]])</f>
        <v>1</v>
      </c>
      <c r="BW727" s="8">
        <f>(Granger_Inventory[[#This Row],[sum_land]]-IF(Granger_Inventory[[#This Row],[no_utilities]]=1,12000,0))/IF(Granger_Inventory[[#This Row],[unbuildable]]=1,2,1)</f>
        <v>44185.343337262602</v>
      </c>
      <c r="BX727" s="8">
        <f>Granger_Inventory[[#This Row],[pre_res]]*Granger_Inventory[[#This Row],[overall_adj]]</f>
        <v>0</v>
      </c>
      <c r="BY727">
        <f>IF(ROUND(Granger_Inventory[[#This Row],[adj_land]]*Lookups!$I$45,-2)&lt;Granger_Inventory[[#This Row],[min_land]],Granger_Inventory[[#This Row],[min_land]],ROUND(Granger_Inventory[[#This Row],[adj_land]]*Lookups!$I$45,-2))</f>
        <v>42000</v>
      </c>
      <c r="BZ727">
        <f>ROUND(Granger_Inventory[[#This Row],[detatched_value]]*Lookups!$I$45,-2)</f>
        <v>0</v>
      </c>
      <c r="CA727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7">
        <f>Granger_Inventory[[#This Row],[final_det]]+Granger_Inventory[[#This Row],[final_res]]</f>
        <v>0</v>
      </c>
      <c r="CC727">
        <f>Granger_Inventory[[#This Row],[final_land]]+Granger_Inventory[[#This Row],[final_imp]]+Granger_Inventory[[#This Row],[crop_value]]</f>
        <v>42000</v>
      </c>
      <c r="CE727" t="str">
        <f t="shared" si="12"/>
        <v>update valuation set market_land =42000, market_bldg=0, market_total =42000, market_mdno =402, market_date ='9/10/2023' where link_id = (select link_id from parcel where parcel_year = '2024' and parcel_id = '21102232441');</v>
      </c>
    </row>
    <row r="728" spans="1:83" x14ac:dyDescent="0.25">
      <c r="A728">
        <v>21102232452</v>
      </c>
      <c r="B728">
        <v>0.78</v>
      </c>
      <c r="C728" t="s">
        <v>137</v>
      </c>
      <c r="D728" t="s">
        <v>137</v>
      </c>
      <c r="E728" t="s">
        <v>54</v>
      </c>
      <c r="F728" t="s">
        <v>54</v>
      </c>
      <c r="G728">
        <v>3</v>
      </c>
      <c r="H728" t="s">
        <v>55</v>
      </c>
      <c r="I728">
        <v>0</v>
      </c>
      <c r="J728">
        <v>35400</v>
      </c>
      <c r="K728">
        <v>0.78</v>
      </c>
      <c r="L728">
        <f>IF(Granger_Inventory[[#This Row],[parcel_acres]]-Granger_Inventory[[#This Row],[non_valued_acres]] =0,0,LN(Granger_Inventory[[#This Row],[parcel_acres]]-Granger_Inventory[[#This Row],[non_valued_acres]]))</f>
        <v>-0.24846135929849961</v>
      </c>
      <c r="M728">
        <v>0</v>
      </c>
      <c r="N728">
        <v>0</v>
      </c>
      <c r="O728">
        <v>0</v>
      </c>
      <c r="P728">
        <v>47108.068500000001</v>
      </c>
      <c r="Q728">
        <v>122298</v>
      </c>
      <c r="R728">
        <f>(Granger_Inventory[[#This Row],[ln_acres]]*Granger_Inventory[[#This Row],[coeff]])+Granger_Inventory[[#This Row],[const]]</f>
        <v>110593.46526656317</v>
      </c>
      <c r="AY728">
        <v>0</v>
      </c>
      <c r="AZ728">
        <v>0</v>
      </c>
      <c r="BE728">
        <v>0</v>
      </c>
      <c r="BF728">
        <v>15000</v>
      </c>
      <c r="BG728">
        <v>0</v>
      </c>
      <c r="BH728" s="8">
        <f>Granger_Inventory[[#This Row],[land_extract]]*Lookups!$B$3</f>
        <v>65883.933538021898</v>
      </c>
      <c r="BI728" s="8">
        <f>IF(Granger_Inventory[[#This Row],[bldg_style]]="",0,Lookups!$B$2)</f>
        <v>0</v>
      </c>
      <c r="BJ728" s="8">
        <f>_xlfn.IFNA(VLOOKUP(Granger_Inventory[[#This Row],[quality]],Lookups!$H$2:$J$14,3,FALSE),0)</f>
        <v>0</v>
      </c>
      <c r="BK728" s="8">
        <f>_xlfn.IFNA(VLOOKUP(Granger_Inventory[[#This Row],[condition]],Lookups!$H$17:$J$24,3,FALSE),0)</f>
        <v>0</v>
      </c>
      <c r="BL728" s="8">
        <f>Granger_Inventory[[#This Row],[Age]]*Lookups!$B$16</f>
        <v>0</v>
      </c>
      <c r="BM728" s="8">
        <f>Granger_Inventory[[#This Row],[living_area]]*Lookups!$B$17</f>
        <v>0</v>
      </c>
      <c r="BN728" s="8">
        <f>(Granger_Inventory[[#This Row],[att_gar]]+Granger_Inventory[[#This Row],[blt_gar]])*Lookups!$B$18</f>
        <v>0</v>
      </c>
      <c r="BO728" s="8">
        <f>Granger_Inventory[[#This Row],[Patio]]*Lookups!$B$19</f>
        <v>0</v>
      </c>
      <c r="BP728" s="8">
        <f>SUM(Granger_Inventory[[#This Row],[Intercept]:[Patio_Value]])*Granger_Inventory[[#This Row],[res_pct]]</f>
        <v>0</v>
      </c>
      <c r="BQ728" s="8">
        <f>Granger_Inventory[[#This Row],[land_value]]</f>
        <v>65883.933538021898</v>
      </c>
      <c r="BR728" s="4">
        <f>_xlfn.IFNA(VLOOKUP(Granger_Inventory[[#This Row],[quality]],Lookups!$A$25:$C$35,3,FALSE),1)</f>
        <v>1</v>
      </c>
      <c r="BS728" s="4">
        <f>_xlfn.IFNA(VLOOKUP(Granger_Inventory[[#This Row],[condition]],Lookups!$A$38:$C$45,3,FALSE),1)</f>
        <v>1</v>
      </c>
      <c r="BT728" s="4">
        <f>IF(Granger_Inventory[[#This Row],[decade]]="",1,_xlfn.IFNA(VLOOKUP(Granger_Inventory[[#This Row],[decade]],Lookups!$G$28:$I$42,3,FALSE),1))</f>
        <v>1</v>
      </c>
      <c r="BU728" s="4">
        <f>_xlfn.IFNA(VLOOKUP(Granger_Inventory[[#This Row],[living_area_range]],Lookups!$A$48:$C$57,3,FALSE),1)</f>
        <v>1</v>
      </c>
      <c r="BV728" s="4">
        <f>AVERAGE(Granger_Inventory[[#This Row],[qual_adj]:[living_range_adj]])</f>
        <v>1</v>
      </c>
      <c r="BW728" s="8">
        <f>(Granger_Inventory[[#This Row],[sum_land]]-IF(Granger_Inventory[[#This Row],[no_utilities]]=1,12000,0))/IF(Granger_Inventory[[#This Row],[unbuildable]]=1,2,1)</f>
        <v>65883.933538021898</v>
      </c>
      <c r="BX728" s="8">
        <f>Granger_Inventory[[#This Row],[pre_res]]*Granger_Inventory[[#This Row],[overall_adj]]</f>
        <v>0</v>
      </c>
      <c r="BY728">
        <f>IF(ROUND(Granger_Inventory[[#This Row],[adj_land]]*Lookups!$I$45,-2)&lt;Granger_Inventory[[#This Row],[min_land]],Granger_Inventory[[#This Row],[min_land]],ROUND(Granger_Inventory[[#This Row],[adj_land]]*Lookups!$I$45,-2))</f>
        <v>62600</v>
      </c>
      <c r="BZ728">
        <f>ROUND(Granger_Inventory[[#This Row],[detatched_value]]*Lookups!$I$45,-2)</f>
        <v>0</v>
      </c>
      <c r="CA728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8">
        <f>Granger_Inventory[[#This Row],[final_det]]+Granger_Inventory[[#This Row],[final_res]]</f>
        <v>0</v>
      </c>
      <c r="CC728">
        <f>Granger_Inventory[[#This Row],[final_land]]+Granger_Inventory[[#This Row],[final_imp]]+Granger_Inventory[[#This Row],[crop_value]]</f>
        <v>62600</v>
      </c>
      <c r="CE728" t="str">
        <f t="shared" si="12"/>
        <v>update valuation set market_land =62600, market_bldg=0, market_total =62600, market_mdno =402, market_date ='9/10/2023' where link_id = (select link_id from parcel where parcel_year = '2024' and parcel_id = '21102232452');</v>
      </c>
    </row>
    <row r="729" spans="1:83" x14ac:dyDescent="0.25">
      <c r="A729">
        <v>21102232454</v>
      </c>
      <c r="B729">
        <v>0.66</v>
      </c>
      <c r="C729">
        <v>28750</v>
      </c>
      <c r="D729" t="s">
        <v>137</v>
      </c>
      <c r="E729" t="s">
        <v>54</v>
      </c>
      <c r="F729" t="s">
        <v>54</v>
      </c>
      <c r="G729">
        <v>3</v>
      </c>
      <c r="H729" t="s">
        <v>55</v>
      </c>
      <c r="I729">
        <v>0</v>
      </c>
      <c r="J729">
        <v>34400</v>
      </c>
      <c r="K729">
        <v>0.66</v>
      </c>
      <c r="L729">
        <f>IF(Granger_Inventory[[#This Row],[parcel_acres]]-Granger_Inventory[[#This Row],[non_valued_acres]] =0,0,LN(Granger_Inventory[[#This Row],[parcel_acres]]-Granger_Inventory[[#This Row],[non_valued_acres]]))</f>
        <v>-0.41551544396166579</v>
      </c>
      <c r="M729">
        <v>0</v>
      </c>
      <c r="N729">
        <v>0</v>
      </c>
      <c r="O729">
        <v>0</v>
      </c>
      <c r="P729">
        <v>47108.068500000001</v>
      </c>
      <c r="Q729">
        <v>122298</v>
      </c>
      <c r="R729">
        <f>(Granger_Inventory[[#This Row],[ln_acres]]*Granger_Inventory[[#This Row],[coeff]])+Granger_Inventory[[#This Row],[const]]</f>
        <v>102723.87000304594</v>
      </c>
      <c r="AY729">
        <v>0</v>
      </c>
      <c r="AZ729">
        <v>0</v>
      </c>
      <c r="BE729">
        <v>0</v>
      </c>
      <c r="BF729">
        <v>15000</v>
      </c>
      <c r="BG729">
        <v>0</v>
      </c>
      <c r="BH729" s="8">
        <f>Granger_Inventory[[#This Row],[land_extract]]*Lookups!$B$3</f>
        <v>61195.773256010565</v>
      </c>
      <c r="BI729" s="8">
        <f>IF(Granger_Inventory[[#This Row],[bldg_style]]="",0,Lookups!$B$2)</f>
        <v>0</v>
      </c>
      <c r="BJ729" s="8">
        <f>_xlfn.IFNA(VLOOKUP(Granger_Inventory[[#This Row],[quality]],Lookups!$H$2:$J$14,3,FALSE),0)</f>
        <v>0</v>
      </c>
      <c r="BK729" s="8">
        <f>_xlfn.IFNA(VLOOKUP(Granger_Inventory[[#This Row],[condition]],Lookups!$H$17:$J$24,3,FALSE),0)</f>
        <v>0</v>
      </c>
      <c r="BL729" s="8">
        <f>Granger_Inventory[[#This Row],[Age]]*Lookups!$B$16</f>
        <v>0</v>
      </c>
      <c r="BM729" s="8">
        <f>Granger_Inventory[[#This Row],[living_area]]*Lookups!$B$17</f>
        <v>0</v>
      </c>
      <c r="BN729" s="8">
        <f>(Granger_Inventory[[#This Row],[att_gar]]+Granger_Inventory[[#This Row],[blt_gar]])*Lookups!$B$18</f>
        <v>0</v>
      </c>
      <c r="BO729" s="8">
        <f>Granger_Inventory[[#This Row],[Patio]]*Lookups!$B$19</f>
        <v>0</v>
      </c>
      <c r="BP729" s="8">
        <f>SUM(Granger_Inventory[[#This Row],[Intercept]:[Patio_Value]])*Granger_Inventory[[#This Row],[res_pct]]</f>
        <v>0</v>
      </c>
      <c r="BQ729" s="8">
        <f>Granger_Inventory[[#This Row],[land_value]]</f>
        <v>61195.773256010565</v>
      </c>
      <c r="BR729" s="4">
        <f>_xlfn.IFNA(VLOOKUP(Granger_Inventory[[#This Row],[quality]],Lookups!$A$25:$C$35,3,FALSE),1)</f>
        <v>1</v>
      </c>
      <c r="BS729" s="4">
        <f>_xlfn.IFNA(VLOOKUP(Granger_Inventory[[#This Row],[condition]],Lookups!$A$38:$C$45,3,FALSE),1)</f>
        <v>1</v>
      </c>
      <c r="BT729" s="4">
        <f>IF(Granger_Inventory[[#This Row],[decade]]="",1,_xlfn.IFNA(VLOOKUP(Granger_Inventory[[#This Row],[decade]],Lookups!$G$28:$I$42,3,FALSE),1))</f>
        <v>1</v>
      </c>
      <c r="BU729" s="4">
        <f>_xlfn.IFNA(VLOOKUP(Granger_Inventory[[#This Row],[living_area_range]],Lookups!$A$48:$C$57,3,FALSE),1)</f>
        <v>1</v>
      </c>
      <c r="BV729" s="4">
        <f>AVERAGE(Granger_Inventory[[#This Row],[qual_adj]:[living_range_adj]])</f>
        <v>1</v>
      </c>
      <c r="BW729" s="8">
        <f>(Granger_Inventory[[#This Row],[sum_land]]-IF(Granger_Inventory[[#This Row],[no_utilities]]=1,12000,0))/IF(Granger_Inventory[[#This Row],[unbuildable]]=1,2,1)</f>
        <v>61195.773256010565</v>
      </c>
      <c r="BX729" s="8">
        <f>Granger_Inventory[[#This Row],[pre_res]]*Granger_Inventory[[#This Row],[overall_adj]]</f>
        <v>0</v>
      </c>
      <c r="BY729">
        <f>IF(ROUND(Granger_Inventory[[#This Row],[adj_land]]*Lookups!$I$45,-2)&lt;Granger_Inventory[[#This Row],[min_land]],Granger_Inventory[[#This Row],[min_land]],ROUND(Granger_Inventory[[#This Row],[adj_land]]*Lookups!$I$45,-2))</f>
        <v>58100</v>
      </c>
      <c r="BZ729">
        <f>ROUND(Granger_Inventory[[#This Row],[detatched_value]]*Lookups!$I$45,-2)</f>
        <v>0</v>
      </c>
      <c r="CA729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29">
        <f>Granger_Inventory[[#This Row],[final_det]]+Granger_Inventory[[#This Row],[final_res]]</f>
        <v>0</v>
      </c>
      <c r="CC729">
        <f>Granger_Inventory[[#This Row],[final_land]]+Granger_Inventory[[#This Row],[final_imp]]+Granger_Inventory[[#This Row],[crop_value]]</f>
        <v>58100</v>
      </c>
      <c r="CE729" t="str">
        <f t="shared" si="12"/>
        <v>update valuation set market_land =58100, market_bldg=0, market_total =58100, market_mdno =402, market_date ='9/10/2023' where link_id = (select link_id from parcel where parcel_year = '2024' and parcel_id = '21102232454');</v>
      </c>
    </row>
    <row r="730" spans="1:83" x14ac:dyDescent="0.25">
      <c r="A730">
        <v>21102233404</v>
      </c>
      <c r="B730">
        <v>8.7100000000000009</v>
      </c>
      <c r="C730" t="s">
        <v>137</v>
      </c>
      <c r="D730" t="s">
        <v>137</v>
      </c>
      <c r="E730" t="s">
        <v>54</v>
      </c>
      <c r="F730" t="s">
        <v>54</v>
      </c>
      <c r="G730">
        <v>3</v>
      </c>
      <c r="H730" t="s">
        <v>55</v>
      </c>
      <c r="I730">
        <v>0</v>
      </c>
      <c r="J730">
        <v>39200</v>
      </c>
      <c r="K730">
        <v>8.7100000000000009</v>
      </c>
      <c r="L730">
        <f>IF(Granger_Inventory[[#This Row],[parcel_acres]]-Granger_Inventory[[#This Row],[non_valued_acres]] =0,0,LN(Granger_Inventory[[#This Row],[parcel_acres]]-Granger_Inventory[[#This Row],[non_valued_acres]]))</f>
        <v>2.1644717908644115</v>
      </c>
      <c r="M730">
        <v>0</v>
      </c>
      <c r="N730">
        <v>0</v>
      </c>
      <c r="O730">
        <v>1</v>
      </c>
      <c r="P730">
        <v>47108.068500000001</v>
      </c>
      <c r="Q730">
        <v>122298</v>
      </c>
      <c r="R730">
        <f>(Granger_Inventory[[#This Row],[ln_acres]]*Granger_Inventory[[#This Row],[coeff]])+Granger_Inventory[[#This Row],[const]]</f>
        <v>224262.08539035838</v>
      </c>
      <c r="AY730">
        <v>0</v>
      </c>
      <c r="AZ730">
        <v>0</v>
      </c>
      <c r="BE730">
        <v>0</v>
      </c>
      <c r="BF730">
        <v>3000</v>
      </c>
      <c r="BG730">
        <v>0</v>
      </c>
      <c r="BH730" s="8">
        <f>Granger_Inventory[[#This Row],[land_extract]]*Lookups!$B$3</f>
        <v>133599.83153926651</v>
      </c>
      <c r="BI730" s="8">
        <f>IF(Granger_Inventory[[#This Row],[bldg_style]]="",0,Lookups!$B$2)</f>
        <v>0</v>
      </c>
      <c r="BJ730" s="8">
        <f>_xlfn.IFNA(VLOOKUP(Granger_Inventory[[#This Row],[quality]],Lookups!$H$2:$J$14,3,FALSE),0)</f>
        <v>0</v>
      </c>
      <c r="BK730" s="8">
        <f>_xlfn.IFNA(VLOOKUP(Granger_Inventory[[#This Row],[condition]],Lookups!$H$17:$J$24,3,FALSE),0)</f>
        <v>0</v>
      </c>
      <c r="BL730" s="8">
        <f>Granger_Inventory[[#This Row],[Age]]*Lookups!$B$16</f>
        <v>0</v>
      </c>
      <c r="BM730" s="8">
        <f>Granger_Inventory[[#This Row],[living_area]]*Lookups!$B$17</f>
        <v>0</v>
      </c>
      <c r="BN730" s="8">
        <f>(Granger_Inventory[[#This Row],[att_gar]]+Granger_Inventory[[#This Row],[blt_gar]])*Lookups!$B$18</f>
        <v>0</v>
      </c>
      <c r="BO730" s="8">
        <f>Granger_Inventory[[#This Row],[Patio]]*Lookups!$B$19</f>
        <v>0</v>
      </c>
      <c r="BP730" s="8">
        <f>SUM(Granger_Inventory[[#This Row],[Intercept]:[Patio_Value]])*Granger_Inventory[[#This Row],[res_pct]]</f>
        <v>0</v>
      </c>
      <c r="BQ730" s="8">
        <f>Granger_Inventory[[#This Row],[land_value]]</f>
        <v>133599.83153926651</v>
      </c>
      <c r="BR730" s="4">
        <f>_xlfn.IFNA(VLOOKUP(Granger_Inventory[[#This Row],[quality]],Lookups!$A$25:$C$35,3,FALSE),1)</f>
        <v>1</v>
      </c>
      <c r="BS730" s="4">
        <f>_xlfn.IFNA(VLOOKUP(Granger_Inventory[[#This Row],[condition]],Lookups!$A$38:$C$45,3,FALSE),1)</f>
        <v>1</v>
      </c>
      <c r="BT730" s="4">
        <f>IF(Granger_Inventory[[#This Row],[decade]]="",1,_xlfn.IFNA(VLOOKUP(Granger_Inventory[[#This Row],[decade]],Lookups!$G$28:$I$42,3,FALSE),1))</f>
        <v>1</v>
      </c>
      <c r="BU730" s="4">
        <f>_xlfn.IFNA(VLOOKUP(Granger_Inventory[[#This Row],[living_area_range]],Lookups!$A$48:$C$57,3,FALSE),1)</f>
        <v>1</v>
      </c>
      <c r="BV730" s="4">
        <f>AVERAGE(Granger_Inventory[[#This Row],[qual_adj]:[living_range_adj]])</f>
        <v>1</v>
      </c>
      <c r="BW730" s="8">
        <f>(Granger_Inventory[[#This Row],[sum_land]]-IF(Granger_Inventory[[#This Row],[no_utilities]]=1,12000,0))/IF(Granger_Inventory[[#This Row],[unbuildable]]=1,2,1)</f>
        <v>121599.83153926651</v>
      </c>
      <c r="BX730" s="8">
        <f>Granger_Inventory[[#This Row],[pre_res]]*Granger_Inventory[[#This Row],[overall_adj]]</f>
        <v>0</v>
      </c>
      <c r="BY730">
        <f>IF(ROUND(Granger_Inventory[[#This Row],[adj_land]]*Lookups!$I$45,-2)&lt;Granger_Inventory[[#This Row],[min_land]],Granger_Inventory[[#This Row],[min_land]],ROUND(Granger_Inventory[[#This Row],[adj_land]]*Lookups!$I$45,-2))</f>
        <v>115500</v>
      </c>
      <c r="BZ730">
        <f>ROUND(Granger_Inventory[[#This Row],[detatched_value]]*Lookups!$I$45,-2)</f>
        <v>0</v>
      </c>
      <c r="CA730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30">
        <f>Granger_Inventory[[#This Row],[final_det]]+Granger_Inventory[[#This Row],[final_res]]</f>
        <v>0</v>
      </c>
      <c r="CC730">
        <f>Granger_Inventory[[#This Row],[final_land]]+Granger_Inventory[[#This Row],[final_imp]]+Granger_Inventory[[#This Row],[crop_value]]</f>
        <v>115500</v>
      </c>
      <c r="CE730" t="str">
        <f t="shared" si="12"/>
        <v>update valuation set market_land =115500, market_bldg=0, market_total =115500, market_mdno =402, market_date ='9/10/2023' where link_id = (select link_id from parcel where parcel_year = '2024' and parcel_id = '21102233404');</v>
      </c>
    </row>
    <row r="731" spans="1:83" x14ac:dyDescent="0.25">
      <c r="A731">
        <v>21102233405</v>
      </c>
      <c r="B731">
        <v>2.73</v>
      </c>
      <c r="C731" t="s">
        <v>137</v>
      </c>
      <c r="D731" t="s">
        <v>137</v>
      </c>
      <c r="E731" t="s">
        <v>54</v>
      </c>
      <c r="F731" t="s">
        <v>54</v>
      </c>
      <c r="G731">
        <v>3</v>
      </c>
      <c r="H731" t="s">
        <v>55</v>
      </c>
      <c r="I731">
        <v>0</v>
      </c>
      <c r="J731">
        <v>33000</v>
      </c>
      <c r="K731">
        <v>2.73</v>
      </c>
      <c r="L731">
        <f>IF(Granger_Inventory[[#This Row],[parcel_acres]]-Granger_Inventory[[#This Row],[non_valued_acres]] =0,0,LN(Granger_Inventory[[#This Row],[parcel_acres]]-Granger_Inventory[[#This Row],[non_valued_acres]]))</f>
        <v>1.0043016091968684</v>
      </c>
      <c r="M731">
        <v>0</v>
      </c>
      <c r="N731">
        <v>0</v>
      </c>
      <c r="O731">
        <v>1</v>
      </c>
      <c r="P731">
        <v>47108.068500000001</v>
      </c>
      <c r="Q731">
        <v>122298</v>
      </c>
      <c r="R731">
        <f>(Granger_Inventory[[#This Row],[ln_acres]]*Granger_Inventory[[#This Row],[coeff]])+Granger_Inventory[[#This Row],[const]]</f>
        <v>169608.70900070632</v>
      </c>
      <c r="AY731">
        <v>0</v>
      </c>
      <c r="AZ731">
        <v>0</v>
      </c>
      <c r="BE731">
        <v>0</v>
      </c>
      <c r="BF731">
        <v>3000</v>
      </c>
      <c r="BG731">
        <v>0</v>
      </c>
      <c r="BH731" s="8">
        <f>Granger_Inventory[[#This Row],[land_extract]]*Lookups!$B$3</f>
        <v>101041.13189995798</v>
      </c>
      <c r="BI731" s="8">
        <f>IF(Granger_Inventory[[#This Row],[bldg_style]]="",0,Lookups!$B$2)</f>
        <v>0</v>
      </c>
      <c r="BJ731" s="8">
        <f>_xlfn.IFNA(VLOOKUP(Granger_Inventory[[#This Row],[quality]],Lookups!$H$2:$J$14,3,FALSE),0)</f>
        <v>0</v>
      </c>
      <c r="BK731" s="8">
        <f>_xlfn.IFNA(VLOOKUP(Granger_Inventory[[#This Row],[condition]],Lookups!$H$17:$J$24,3,FALSE),0)</f>
        <v>0</v>
      </c>
      <c r="BL731" s="8">
        <f>Granger_Inventory[[#This Row],[Age]]*Lookups!$B$16</f>
        <v>0</v>
      </c>
      <c r="BM731" s="8">
        <f>Granger_Inventory[[#This Row],[living_area]]*Lookups!$B$17</f>
        <v>0</v>
      </c>
      <c r="BN731" s="8">
        <f>(Granger_Inventory[[#This Row],[att_gar]]+Granger_Inventory[[#This Row],[blt_gar]])*Lookups!$B$18</f>
        <v>0</v>
      </c>
      <c r="BO731" s="8">
        <f>Granger_Inventory[[#This Row],[Patio]]*Lookups!$B$19</f>
        <v>0</v>
      </c>
      <c r="BP731" s="8">
        <f>SUM(Granger_Inventory[[#This Row],[Intercept]:[Patio_Value]])*Granger_Inventory[[#This Row],[res_pct]]</f>
        <v>0</v>
      </c>
      <c r="BQ731" s="8">
        <f>Granger_Inventory[[#This Row],[land_value]]</f>
        <v>101041.13189995798</v>
      </c>
      <c r="BR731" s="4">
        <f>_xlfn.IFNA(VLOOKUP(Granger_Inventory[[#This Row],[quality]],Lookups!$A$25:$C$35,3,FALSE),1)</f>
        <v>1</v>
      </c>
      <c r="BS731" s="4">
        <f>_xlfn.IFNA(VLOOKUP(Granger_Inventory[[#This Row],[condition]],Lookups!$A$38:$C$45,3,FALSE),1)</f>
        <v>1</v>
      </c>
      <c r="BT731" s="4">
        <f>IF(Granger_Inventory[[#This Row],[decade]]="",1,_xlfn.IFNA(VLOOKUP(Granger_Inventory[[#This Row],[decade]],Lookups!$G$28:$I$42,3,FALSE),1))</f>
        <v>1</v>
      </c>
      <c r="BU731" s="4">
        <f>_xlfn.IFNA(VLOOKUP(Granger_Inventory[[#This Row],[living_area_range]],Lookups!$A$48:$C$57,3,FALSE),1)</f>
        <v>1</v>
      </c>
      <c r="BV731" s="4">
        <f>AVERAGE(Granger_Inventory[[#This Row],[qual_adj]:[living_range_adj]])</f>
        <v>1</v>
      </c>
      <c r="BW731" s="8">
        <f>(Granger_Inventory[[#This Row],[sum_land]]-IF(Granger_Inventory[[#This Row],[no_utilities]]=1,12000,0))/IF(Granger_Inventory[[#This Row],[unbuildable]]=1,2,1)</f>
        <v>89041.131899957982</v>
      </c>
      <c r="BX731" s="8">
        <f>Granger_Inventory[[#This Row],[pre_res]]*Granger_Inventory[[#This Row],[overall_adj]]</f>
        <v>0</v>
      </c>
      <c r="BY731">
        <f>IF(ROUND(Granger_Inventory[[#This Row],[adj_land]]*Lookups!$I$45,-2)&lt;Granger_Inventory[[#This Row],[min_land]],Granger_Inventory[[#This Row],[min_land]],ROUND(Granger_Inventory[[#This Row],[adj_land]]*Lookups!$I$45,-2))</f>
        <v>84600</v>
      </c>
      <c r="BZ731">
        <f>ROUND(Granger_Inventory[[#This Row],[detatched_value]]*Lookups!$I$45,-2)</f>
        <v>0</v>
      </c>
      <c r="CA731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31">
        <f>Granger_Inventory[[#This Row],[final_det]]+Granger_Inventory[[#This Row],[final_res]]</f>
        <v>0</v>
      </c>
      <c r="CC731">
        <f>Granger_Inventory[[#This Row],[final_land]]+Granger_Inventory[[#This Row],[final_imp]]+Granger_Inventory[[#This Row],[crop_value]]</f>
        <v>84600</v>
      </c>
      <c r="CE731" t="str">
        <f t="shared" si="12"/>
        <v>update valuation set market_land =84600, market_bldg=0, market_total =84600, market_mdno =402, market_date ='9/10/2023' where link_id = (select link_id from parcel where parcel_year = '2024' and parcel_id = '21102233405');</v>
      </c>
    </row>
    <row r="732" spans="1:83" x14ac:dyDescent="0.25">
      <c r="A732">
        <v>21102234002</v>
      </c>
      <c r="B732">
        <v>5.54</v>
      </c>
      <c r="C732">
        <v>299693</v>
      </c>
      <c r="D732" t="s">
        <v>137</v>
      </c>
      <c r="E732" t="s">
        <v>54</v>
      </c>
      <c r="F732" t="s">
        <v>54</v>
      </c>
      <c r="G732">
        <v>3</v>
      </c>
      <c r="H732" t="s">
        <v>55</v>
      </c>
      <c r="I732">
        <v>0</v>
      </c>
      <c r="J732">
        <v>33000</v>
      </c>
      <c r="K732">
        <v>5.54</v>
      </c>
      <c r="L732">
        <f>IF(Granger_Inventory[[#This Row],[parcel_acres]]-Granger_Inventory[[#This Row],[non_valued_acres]] =0,0,LN(Granger_Inventory[[#This Row],[parcel_acres]]-Granger_Inventory[[#This Row],[non_valued_acres]]))</f>
        <v>1.7119945007591924</v>
      </c>
      <c r="M732">
        <v>0</v>
      </c>
      <c r="N732">
        <v>0</v>
      </c>
      <c r="O732">
        <v>1</v>
      </c>
      <c r="P732">
        <v>47108.068500000001</v>
      </c>
      <c r="Q732">
        <v>122298</v>
      </c>
      <c r="R732">
        <f>(Granger_Inventory[[#This Row],[ln_acres]]*Granger_Inventory[[#This Row],[coeff]])+Granger_Inventory[[#This Row],[const]]</f>
        <v>202946.75421338732</v>
      </c>
      <c r="AY732">
        <v>0</v>
      </c>
      <c r="AZ732">
        <v>0</v>
      </c>
      <c r="BE732">
        <v>0</v>
      </c>
      <c r="BF732">
        <v>3000</v>
      </c>
      <c r="BG732">
        <v>0</v>
      </c>
      <c r="BH732" s="8">
        <f>Granger_Inventory[[#This Row],[land_extract]]*Lookups!$B$3</f>
        <v>120901.6322449446</v>
      </c>
      <c r="BI732" s="8">
        <f>IF(Granger_Inventory[[#This Row],[bldg_style]]="",0,Lookups!$B$2)</f>
        <v>0</v>
      </c>
      <c r="BJ732" s="8">
        <f>_xlfn.IFNA(VLOOKUP(Granger_Inventory[[#This Row],[quality]],Lookups!$H$2:$J$14,3,FALSE),0)</f>
        <v>0</v>
      </c>
      <c r="BK732" s="8">
        <f>_xlfn.IFNA(VLOOKUP(Granger_Inventory[[#This Row],[condition]],Lookups!$H$17:$J$24,3,FALSE),0)</f>
        <v>0</v>
      </c>
      <c r="BL732" s="8">
        <f>Granger_Inventory[[#This Row],[Age]]*Lookups!$B$16</f>
        <v>0</v>
      </c>
      <c r="BM732" s="8">
        <f>Granger_Inventory[[#This Row],[living_area]]*Lookups!$B$17</f>
        <v>0</v>
      </c>
      <c r="BN732" s="8">
        <f>(Granger_Inventory[[#This Row],[att_gar]]+Granger_Inventory[[#This Row],[blt_gar]])*Lookups!$B$18</f>
        <v>0</v>
      </c>
      <c r="BO732" s="8">
        <f>Granger_Inventory[[#This Row],[Patio]]*Lookups!$B$19</f>
        <v>0</v>
      </c>
      <c r="BP732" s="8">
        <f>SUM(Granger_Inventory[[#This Row],[Intercept]:[Patio_Value]])*Granger_Inventory[[#This Row],[res_pct]]</f>
        <v>0</v>
      </c>
      <c r="BQ732" s="8">
        <f>Granger_Inventory[[#This Row],[land_value]]</f>
        <v>120901.6322449446</v>
      </c>
      <c r="BR732" s="4">
        <f>_xlfn.IFNA(VLOOKUP(Granger_Inventory[[#This Row],[quality]],Lookups!$A$25:$C$35,3,FALSE),1)</f>
        <v>1</v>
      </c>
      <c r="BS732" s="4">
        <f>_xlfn.IFNA(VLOOKUP(Granger_Inventory[[#This Row],[condition]],Lookups!$A$38:$C$45,3,FALSE),1)</f>
        <v>1</v>
      </c>
      <c r="BT732" s="4">
        <f>IF(Granger_Inventory[[#This Row],[decade]]="",1,_xlfn.IFNA(VLOOKUP(Granger_Inventory[[#This Row],[decade]],Lookups!$G$28:$I$42,3,FALSE),1))</f>
        <v>1</v>
      </c>
      <c r="BU732" s="4">
        <f>_xlfn.IFNA(VLOOKUP(Granger_Inventory[[#This Row],[living_area_range]],Lookups!$A$48:$C$57,3,FALSE),1)</f>
        <v>1</v>
      </c>
      <c r="BV732" s="4">
        <f>AVERAGE(Granger_Inventory[[#This Row],[qual_adj]:[living_range_adj]])</f>
        <v>1</v>
      </c>
      <c r="BW732" s="8">
        <f>(Granger_Inventory[[#This Row],[sum_land]]-IF(Granger_Inventory[[#This Row],[no_utilities]]=1,12000,0))/IF(Granger_Inventory[[#This Row],[unbuildable]]=1,2,1)</f>
        <v>108901.6322449446</v>
      </c>
      <c r="BX732" s="8">
        <f>Granger_Inventory[[#This Row],[pre_res]]*Granger_Inventory[[#This Row],[overall_adj]]</f>
        <v>0</v>
      </c>
      <c r="BY732">
        <f>IF(ROUND(Granger_Inventory[[#This Row],[adj_land]]*Lookups!$I$45,-2)&lt;Granger_Inventory[[#This Row],[min_land]],Granger_Inventory[[#This Row],[min_land]],ROUND(Granger_Inventory[[#This Row],[adj_land]]*Lookups!$I$45,-2))</f>
        <v>103500</v>
      </c>
      <c r="BZ732">
        <f>ROUND(Granger_Inventory[[#This Row],[detatched_value]]*Lookups!$I$45,-2)</f>
        <v>0</v>
      </c>
      <c r="CA732">
        <f>IF(ROUND(Granger_Inventory[[#This Row],[adj_res]]*Lookups!$I$45,-2)&lt;Granger_Inventory[[#This Row],[min_res]],Granger_Inventory[[#This Row],[min_res]],ROUND(Granger_Inventory[[#This Row],[adj_res]]*Lookups!$I$45,-2))</f>
        <v>0</v>
      </c>
      <c r="CB732">
        <f>Granger_Inventory[[#This Row],[final_det]]+Granger_Inventory[[#This Row],[final_res]]</f>
        <v>0</v>
      </c>
      <c r="CC732">
        <f>Granger_Inventory[[#This Row],[final_land]]+Granger_Inventory[[#This Row],[final_imp]]+Granger_Inventory[[#This Row],[crop_value]]</f>
        <v>103500</v>
      </c>
      <c r="CE732" t="str">
        <f t="shared" si="12"/>
        <v>update valuation set market_land =103500, market_bldg=0, market_total =103500, market_mdno =402, market_date ='9/10/2023' where link_id = (select link_id from parcel where parcel_year = '2024' and parcel_id = '21102234002');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Granger Sales</vt:lpstr>
      <vt:lpstr>Lookups</vt:lpstr>
      <vt:lpstr>Pivot Tables</vt:lpstr>
      <vt:lpstr>Inventory</vt:lpstr>
    </vt:vector>
  </TitlesOfParts>
  <Company>Yakima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Tate</dc:creator>
  <cp:lastModifiedBy>Jacob Tate</cp:lastModifiedBy>
  <dcterms:created xsi:type="dcterms:W3CDTF">2023-06-06T16:08:42Z</dcterms:created>
  <dcterms:modified xsi:type="dcterms:W3CDTF">2024-01-08T19:05:22Z</dcterms:modified>
</cp:coreProperties>
</file>